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1025" tabRatio="840" activeTab="2"/>
  </bookViews>
  <sheets>
    <sheet name="мз" sheetId="12" r:id="rId1"/>
    <sheet name="свод" sheetId="9" r:id="rId2"/>
    <sheet name="пр.1+2 " sheetId="4" r:id="rId3"/>
    <sheet name="пр.3" sheetId="5" r:id="rId4"/>
    <sheet name="пр.4" sheetId="6" r:id="rId5"/>
    <sheet name="пр.5" sheetId="7" r:id="rId6"/>
    <sheet name="пр.6" sheetId="8" r:id="rId7"/>
    <sheet name="проверка 2017" sheetId="10" r:id="rId8"/>
    <sheet name="проверка 2018" sheetId="14" r:id="rId9"/>
    <sheet name="проверка 2019" sheetId="15" r:id="rId10"/>
    <sheet name="304" sheetId="13" r:id="rId11"/>
  </sheets>
  <externalReferences>
    <externalReference r:id="rId12"/>
    <externalReference r:id="rId13"/>
  </externalReferences>
  <definedNames>
    <definedName name="_xlnm.Print_Area" localSheetId="0">мз!$A$1:$P$380</definedName>
    <definedName name="_xlnm.Print_Area" localSheetId="2">'пр.1+2 '!$A$1:$G$103</definedName>
    <definedName name="_xlnm.Print_Area" localSheetId="1">свод!$A$1:$J$121</definedName>
  </definedNames>
  <calcPr calcId="114210"/>
</workbook>
</file>

<file path=xl/calcChain.xml><?xml version="1.0" encoding="utf-8"?>
<calcChain xmlns="http://schemas.openxmlformats.org/spreadsheetml/2006/main">
  <c r="H19" i="8"/>
  <c r="H20" i="7"/>
  <c r="F19"/>
  <c r="F18"/>
  <c r="F9"/>
  <c r="F8"/>
  <c r="F7"/>
  <c r="F6"/>
  <c r="G87" i="4"/>
  <c r="F87"/>
  <c r="F37"/>
  <c r="F71"/>
  <c r="F21" i="7"/>
  <c r="H21"/>
  <c r="F18" i="8"/>
  <c r="H18"/>
  <c r="D78" i="4"/>
  <c r="R39"/>
  <c r="C39"/>
  <c r="Q39"/>
  <c r="O19"/>
  <c r="M19"/>
  <c r="Q18"/>
  <c r="P18"/>
  <c r="L18"/>
  <c r="L19"/>
  <c r="N17"/>
  <c r="N19"/>
  <c r="D11" i="15"/>
  <c r="D14"/>
  <c r="D6"/>
  <c r="D11" i="14"/>
  <c r="D14"/>
  <c r="D6"/>
  <c r="C11" i="15"/>
  <c r="C11" i="14"/>
  <c r="C14"/>
  <c r="C6"/>
  <c r="F38" i="5"/>
  <c r="F34"/>
  <c r="F20" i="7"/>
  <c r="E57" i="10"/>
  <c r="E54"/>
  <c r="A57"/>
  <c r="A54"/>
  <c r="E29" i="7"/>
  <c r="E27"/>
  <c r="A29"/>
  <c r="A27"/>
  <c r="D24" i="8"/>
  <c r="A24"/>
  <c r="D22"/>
  <c r="A22"/>
  <c r="D19" i="13"/>
  <c r="D17"/>
  <c r="B19"/>
  <c r="B17"/>
  <c r="C16" i="10"/>
  <c r="C6"/>
  <c r="F122" i="9"/>
  <c r="F10" i="7"/>
  <c r="H7"/>
  <c r="F20" i="8"/>
  <c r="H20"/>
  <c r="F113" i="9"/>
  <c r="A49"/>
  <c r="F48" i="5"/>
  <c r="A37" i="4"/>
  <c r="Q27"/>
  <c r="B37"/>
  <c r="R27"/>
  <c r="C37"/>
  <c r="N34"/>
  <c r="N36"/>
  <c r="L35"/>
  <c r="C14" i="15"/>
  <c r="C6"/>
  <c r="O6"/>
  <c r="N6"/>
  <c r="L6"/>
  <c r="L14"/>
  <c r="J6"/>
  <c r="I6"/>
  <c r="O14"/>
  <c r="O6" i="14"/>
  <c r="O14"/>
  <c r="N6"/>
  <c r="N14"/>
  <c r="L6"/>
  <c r="J6"/>
  <c r="J14"/>
  <c r="I6"/>
  <c r="G91" i="4"/>
  <c r="O36"/>
  <c r="E51" i="6"/>
  <c r="E49"/>
  <c r="A51"/>
  <c r="A49"/>
  <c r="E81" i="5"/>
  <c r="E79"/>
  <c r="A81"/>
  <c r="A79"/>
  <c r="E103" i="4"/>
  <c r="A103"/>
  <c r="E101"/>
  <c r="A101"/>
  <c r="A61"/>
  <c r="E61"/>
  <c r="E59"/>
  <c r="A59"/>
  <c r="O4" i="10"/>
  <c r="F57" i="5"/>
  <c r="F72" i="9"/>
  <c r="A76"/>
  <c r="H19" i="7"/>
  <c r="F16"/>
  <c r="F15"/>
  <c r="F26" i="5"/>
  <c r="A61" i="9"/>
  <c r="F24" i="5"/>
  <c r="F61" i="9"/>
  <c r="G6"/>
  <c r="H6"/>
  <c r="I6"/>
  <c r="J6"/>
  <c r="F53" i="5"/>
  <c r="F71" i="9"/>
  <c r="F54" i="5"/>
  <c r="F70" i="9"/>
  <c r="A74"/>
  <c r="A73"/>
  <c r="A59"/>
  <c r="F55" i="5"/>
  <c r="F73" i="9"/>
  <c r="F56" i="5"/>
  <c r="F74" i="9"/>
  <c r="F46" i="5"/>
  <c r="F35"/>
  <c r="F36"/>
  <c r="F65" i="9"/>
  <c r="F37" i="5"/>
  <c r="A92" i="4"/>
  <c r="F92"/>
  <c r="G92"/>
  <c r="S38"/>
  <c r="S39"/>
  <c r="O46"/>
  <c r="M46"/>
  <c r="A90"/>
  <c r="F90"/>
  <c r="G90"/>
  <c r="L45"/>
  <c r="L46"/>
  <c r="N44"/>
  <c r="N46"/>
  <c r="N31" i="10"/>
  <c r="O31"/>
  <c r="N30"/>
  <c r="O30"/>
  <c r="I39"/>
  <c r="I38"/>
  <c r="H39"/>
  <c r="H38"/>
  <c r="O40" i="4"/>
  <c r="P40"/>
  <c r="P42"/>
  <c r="M40"/>
  <c r="A89"/>
  <c r="N26"/>
  <c r="N28"/>
  <c r="M28"/>
  <c r="A87"/>
  <c r="O28"/>
  <c r="M36"/>
  <c r="A88"/>
  <c r="D97"/>
  <c r="D98"/>
  <c r="B39"/>
  <c r="L39"/>
  <c r="L40"/>
  <c r="P36"/>
  <c r="R36"/>
  <c r="C88"/>
  <c r="Q35"/>
  <c r="B38"/>
  <c r="P28"/>
  <c r="L27"/>
  <c r="L28"/>
  <c r="O11"/>
  <c r="M11"/>
  <c r="Q10"/>
  <c r="C6"/>
  <c r="F6"/>
  <c r="P10"/>
  <c r="L10"/>
  <c r="L11"/>
  <c r="N9"/>
  <c r="N11"/>
  <c r="F33" i="5"/>
  <c r="H18" i="7"/>
  <c r="F17"/>
  <c r="H17"/>
  <c r="H16"/>
  <c r="H15"/>
  <c r="F14"/>
  <c r="H14"/>
  <c r="F13"/>
  <c r="H13"/>
  <c r="F12"/>
  <c r="H12"/>
  <c r="F11"/>
  <c r="H10"/>
  <c r="H9"/>
  <c r="H8"/>
  <c r="F99" i="9"/>
  <c r="F19" i="8"/>
  <c r="F17"/>
  <c r="H17"/>
  <c r="F112" i="9"/>
  <c r="F16" i="8"/>
  <c r="H16"/>
  <c r="D7"/>
  <c r="D6"/>
  <c r="N38" i="4"/>
  <c r="N40"/>
  <c r="Q40"/>
  <c r="B89"/>
  <c r="B54"/>
  <c r="B98"/>
  <c r="D14" i="10"/>
  <c r="E14"/>
  <c r="D83" i="4"/>
  <c r="B83"/>
  <c r="D31" i="10"/>
  <c r="E31"/>
  <c r="D82" i="4"/>
  <c r="D30" i="10"/>
  <c r="E30"/>
  <c r="E4"/>
  <c r="F21"/>
  <c r="A4" i="13"/>
  <c r="A126" i="12"/>
  <c r="A125"/>
  <c r="A193"/>
  <c r="A194"/>
  <c r="N14" i="15"/>
  <c r="J30" i="10"/>
  <c r="J31"/>
  <c r="M261" i="12"/>
  <c r="L261"/>
  <c r="M193"/>
  <c r="L193"/>
  <c r="K193"/>
  <c r="M125"/>
  <c r="L125"/>
  <c r="M57"/>
  <c r="L57"/>
  <c r="F20" i="5"/>
  <c r="F59"/>
  <c r="F76" i="9"/>
  <c r="F58" i="5"/>
  <c r="F75" i="9"/>
  <c r="A58" i="12"/>
  <c r="A57"/>
  <c r="N28" i="15"/>
  <c r="N27"/>
  <c r="N26"/>
  <c r="N25"/>
  <c r="N24"/>
  <c r="N23"/>
  <c r="N22"/>
  <c r="N21"/>
  <c r="N20"/>
  <c r="N19"/>
  <c r="N18"/>
  <c r="N17"/>
  <c r="N28" i="14"/>
  <c r="N27"/>
  <c r="N26"/>
  <c r="N25"/>
  <c r="N24"/>
  <c r="N23"/>
  <c r="N22"/>
  <c r="N21"/>
  <c r="N20"/>
  <c r="N19"/>
  <c r="N18"/>
  <c r="N17"/>
  <c r="O8" i="15"/>
  <c r="H8"/>
  <c r="O9"/>
  <c r="H9"/>
  <c r="O8" i="14"/>
  <c r="H8"/>
  <c r="O9"/>
  <c r="H9"/>
  <c r="D10" i="8"/>
  <c r="F109" i="9"/>
  <c r="F26" i="6"/>
  <c r="K261" i="12"/>
  <c r="A10" i="13"/>
  <c r="A11"/>
  <c r="A12"/>
  <c r="A13"/>
  <c r="A14"/>
  <c r="H9"/>
  <c r="L25" i="15"/>
  <c r="J25"/>
  <c r="O25"/>
  <c r="L17"/>
  <c r="J17"/>
  <c r="O17"/>
  <c r="L19"/>
  <c r="J19"/>
  <c r="O19"/>
  <c r="L21"/>
  <c r="J21"/>
  <c r="O21"/>
  <c r="L23"/>
  <c r="J23"/>
  <c r="O23"/>
  <c r="L27"/>
  <c r="J27"/>
  <c r="O27"/>
  <c r="J14"/>
  <c r="L18"/>
  <c r="J18"/>
  <c r="O18"/>
  <c r="L20"/>
  <c r="J20"/>
  <c r="O20"/>
  <c r="L22"/>
  <c r="J22"/>
  <c r="O22"/>
  <c r="L24"/>
  <c r="J24"/>
  <c r="O24"/>
  <c r="L26"/>
  <c r="J26"/>
  <c r="O26"/>
  <c r="L14" i="14"/>
  <c r="L20"/>
  <c r="J20"/>
  <c r="O20"/>
  <c r="L22"/>
  <c r="J22"/>
  <c r="O22"/>
  <c r="L24"/>
  <c r="J24"/>
  <c r="O24"/>
  <c r="L17"/>
  <c r="J17"/>
  <c r="O17"/>
  <c r="L19"/>
  <c r="J19"/>
  <c r="O19"/>
  <c r="L21"/>
  <c r="J21"/>
  <c r="O21"/>
  <c r="L23"/>
  <c r="J23"/>
  <c r="O23"/>
  <c r="L25"/>
  <c r="J25"/>
  <c r="O25"/>
  <c r="L27"/>
  <c r="J27"/>
  <c r="O27"/>
  <c r="L18"/>
  <c r="J18"/>
  <c r="O18"/>
  <c r="L26"/>
  <c r="J26"/>
  <c r="O26"/>
  <c r="B2" i="9"/>
  <c r="K125" i="12"/>
  <c r="K57"/>
  <c r="A331"/>
  <c r="A262"/>
  <c r="A261"/>
  <c r="L28" i="15"/>
  <c r="J28"/>
  <c r="O28"/>
  <c r="O29"/>
  <c r="P261" i="12"/>
  <c r="L28" i="14"/>
  <c r="J28"/>
  <c r="O28"/>
  <c r="O29"/>
  <c r="O261" i="12"/>
  <c r="D9" i="8"/>
  <c r="F110" i="9"/>
  <c r="D8" i="8"/>
  <c r="F111" i="9"/>
  <c r="F24" i="7"/>
  <c r="F23"/>
  <c r="N20" i="10"/>
  <c r="N21"/>
  <c r="N22"/>
  <c r="N23"/>
  <c r="N24"/>
  <c r="N25"/>
  <c r="N26"/>
  <c r="N27"/>
  <c r="N28"/>
  <c r="N29"/>
  <c r="N19"/>
  <c r="N32"/>
  <c r="N16"/>
  <c r="M58" i="4"/>
  <c r="A109" i="9"/>
  <c r="A108"/>
  <c r="A107"/>
  <c r="F11" i="5"/>
  <c r="F48" i="9"/>
  <c r="F12" i="5"/>
  <c r="F49" i="9"/>
  <c r="F13" i="5"/>
  <c r="F52" i="9"/>
  <c r="F14" i="5"/>
  <c r="F59" i="9"/>
  <c r="F15" i="5"/>
  <c r="F53" i="9"/>
  <c r="F16" i="5"/>
  <c r="F50" i="9"/>
  <c r="F17" i="5"/>
  <c r="F56" i="9"/>
  <c r="F18" i="5"/>
  <c r="F57" i="9"/>
  <c r="F19" i="5"/>
  <c r="F62" i="9"/>
  <c r="F60"/>
  <c r="F21" i="5"/>
  <c r="F51" i="9"/>
  <c r="F22" i="5"/>
  <c r="F54" i="9"/>
  <c r="F23" i="5"/>
  <c r="F25"/>
  <c r="F58" i="9"/>
  <c r="F55"/>
  <c r="F27" i="5"/>
  <c r="F28"/>
  <c r="F29"/>
  <c r="F7"/>
  <c r="F8"/>
  <c r="F6"/>
  <c r="F45" i="9"/>
  <c r="F9" i="5"/>
  <c r="F46" i="9"/>
  <c r="F10" i="5"/>
  <c r="F47" i="9"/>
  <c r="F108"/>
  <c r="F63" i="5"/>
  <c r="F61"/>
  <c r="F51"/>
  <c r="F47"/>
  <c r="F49"/>
  <c r="F52"/>
  <c r="F69" i="9"/>
  <c r="F50" i="5"/>
  <c r="O23" i="4"/>
  <c r="M23"/>
  <c r="A73"/>
  <c r="Q22"/>
  <c r="P22"/>
  <c r="L22"/>
  <c r="L23"/>
  <c r="N21"/>
  <c r="N23"/>
  <c r="D23" i="10"/>
  <c r="E23"/>
  <c r="F18" i="9"/>
  <c r="E25"/>
  <c r="D29"/>
  <c r="F29"/>
  <c r="A53"/>
  <c r="F82"/>
  <c r="F6" i="6"/>
  <c r="F8"/>
  <c r="F9"/>
  <c r="F11"/>
  <c r="F12"/>
  <c r="F27"/>
  <c r="F86" i="9"/>
  <c r="F28" i="6"/>
  <c r="F87" i="9"/>
  <c r="F36" i="6"/>
  <c r="F91" i="9"/>
  <c r="F92"/>
  <c r="F37" i="6"/>
  <c r="F43"/>
  <c r="F94" i="9"/>
  <c r="F44" i="6"/>
  <c r="F95" i="9"/>
  <c r="F96"/>
  <c r="F45" i="6"/>
  <c r="F40" i="5"/>
  <c r="F66" i="9"/>
  <c r="F60" i="5"/>
  <c r="F77" i="9"/>
  <c r="F62" i="5"/>
  <c r="F70"/>
  <c r="F74"/>
  <c r="A6" i="4"/>
  <c r="A7"/>
  <c r="F8"/>
  <c r="G8"/>
  <c r="B6"/>
  <c r="N13"/>
  <c r="N15"/>
  <c r="M15"/>
  <c r="L14"/>
  <c r="L15"/>
  <c r="P14"/>
  <c r="B7"/>
  <c r="Q14"/>
  <c r="C7"/>
  <c r="O15"/>
  <c r="E25"/>
  <c r="D26"/>
  <c r="E26"/>
  <c r="D27"/>
  <c r="D28"/>
  <c r="A38"/>
  <c r="A39"/>
  <c r="A40"/>
  <c r="F40"/>
  <c r="G40"/>
  <c r="F41"/>
  <c r="G41"/>
  <c r="P46"/>
  <c r="B90"/>
  <c r="A91"/>
  <c r="D50"/>
  <c r="F42" i="9"/>
  <c r="F31"/>
  <c r="D20" i="10"/>
  <c r="E20"/>
  <c r="C91" i="4"/>
  <c r="O9" i="10"/>
  <c r="H9"/>
  <c r="E25"/>
  <c r="O8"/>
  <c r="H8"/>
  <c r="A72" i="4"/>
  <c r="O27" i="10"/>
  <c r="J27"/>
  <c r="J21"/>
  <c r="L21"/>
  <c r="J40" i="9"/>
  <c r="J114"/>
  <c r="O21" i="10"/>
  <c r="F29" i="6"/>
  <c r="C90" i="4"/>
  <c r="F85" i="9"/>
  <c r="J29"/>
  <c r="J35"/>
  <c r="F25" i="10"/>
  <c r="I25"/>
  <c r="K25"/>
  <c r="H25"/>
  <c r="G25"/>
  <c r="J87" i="9"/>
  <c r="J88"/>
  <c r="O19" i="10"/>
  <c r="O26"/>
  <c r="J26"/>
  <c r="O29"/>
  <c r="O28"/>
  <c r="O22"/>
  <c r="J24"/>
  <c r="J22"/>
  <c r="J25"/>
  <c r="J28"/>
  <c r="J19"/>
  <c r="J23"/>
  <c r="J20"/>
  <c r="J29"/>
  <c r="O20"/>
  <c r="O23"/>
  <c r="J103" i="9"/>
  <c r="J55"/>
  <c r="O25" i="10"/>
  <c r="O24"/>
  <c r="J53" i="9"/>
  <c r="J48"/>
  <c r="J82"/>
  <c r="J47"/>
  <c r="J61"/>
  <c r="J24"/>
  <c r="J18"/>
  <c r="J13"/>
  <c r="J107"/>
  <c r="J59"/>
  <c r="J98"/>
  <c r="J99"/>
  <c r="J100"/>
  <c r="J101"/>
  <c r="J102"/>
  <c r="J104"/>
  <c r="J58"/>
  <c r="J60"/>
  <c r="J52"/>
  <c r="J56"/>
  <c r="J108"/>
  <c r="J50"/>
  <c r="J65"/>
  <c r="J49"/>
  <c r="J23"/>
  <c r="J12"/>
  <c r="J73"/>
  <c r="J75"/>
  <c r="J86"/>
  <c r="J77"/>
  <c r="J57"/>
  <c r="J42"/>
  <c r="J110"/>
  <c r="J45"/>
  <c r="J95"/>
  <c r="J94"/>
  <c r="J96"/>
  <c r="J62"/>
  <c r="J17"/>
  <c r="J85"/>
  <c r="J91"/>
  <c r="J92"/>
  <c r="J69"/>
  <c r="J72"/>
  <c r="J46"/>
  <c r="J70"/>
  <c r="J54"/>
  <c r="O32" i="10"/>
  <c r="O33"/>
  <c r="J16" i="9"/>
  <c r="J36"/>
  <c r="J31"/>
  <c r="J41"/>
  <c r="J39"/>
  <c r="J43"/>
  <c r="J28"/>
  <c r="J21"/>
  <c r="J22"/>
  <c r="J11"/>
  <c r="J30"/>
  <c r="J14"/>
  <c r="O16" i="10"/>
  <c r="D47" i="4"/>
  <c r="D11" i="10"/>
  <c r="E11"/>
  <c r="D48" i="4"/>
  <c r="D9" i="10"/>
  <c r="D49" i="4"/>
  <c r="D46"/>
  <c r="D12" i="10"/>
  <c r="E12"/>
  <c r="J16"/>
  <c r="J32"/>
  <c r="J74" i="9"/>
  <c r="J66"/>
  <c r="J67"/>
  <c r="J76"/>
  <c r="J71"/>
  <c r="J51"/>
  <c r="J112"/>
  <c r="J111"/>
  <c r="J109"/>
  <c r="J113"/>
  <c r="J115"/>
  <c r="J81"/>
  <c r="J83"/>
  <c r="J34"/>
  <c r="J37"/>
  <c r="F107"/>
  <c r="D15" i="10"/>
  <c r="E15"/>
  <c r="B97" i="4"/>
  <c r="F24" i="9"/>
  <c r="F13"/>
  <c r="D13" i="10"/>
  <c r="E13"/>
  <c r="H35" i="9"/>
  <c r="H87"/>
  <c r="H114"/>
  <c r="H40"/>
  <c r="H88"/>
  <c r="I29"/>
  <c r="D55" i="4"/>
  <c r="B55"/>
  <c r="A71"/>
  <c r="G6"/>
  <c r="R35"/>
  <c r="C38"/>
  <c r="E28"/>
  <c r="L36"/>
  <c r="F22" i="7"/>
  <c r="H22"/>
  <c r="F102" i="9"/>
  <c r="L25" i="10"/>
  <c r="F31"/>
  <c r="M31"/>
  <c r="L31"/>
  <c r="F30"/>
  <c r="M30"/>
  <c r="L30"/>
  <c r="F20"/>
  <c r="I20"/>
  <c r="K20"/>
  <c r="L20"/>
  <c r="F28"/>
  <c r="I28"/>
  <c r="L28"/>
  <c r="F10"/>
  <c r="M10"/>
  <c r="M16"/>
  <c r="O10"/>
  <c r="M25"/>
  <c r="L23"/>
  <c r="L26"/>
  <c r="F24"/>
  <c r="I24"/>
  <c r="L24"/>
  <c r="F22"/>
  <c r="M22"/>
  <c r="L22"/>
  <c r="F29"/>
  <c r="L29"/>
  <c r="G87" i="9"/>
  <c r="G88"/>
  <c r="J19"/>
  <c r="G35"/>
  <c r="G40"/>
  <c r="G114"/>
  <c r="I22" i="10"/>
  <c r="J89" i="9"/>
  <c r="L27" i="10"/>
  <c r="L16"/>
  <c r="L19"/>
  <c r="M28"/>
  <c r="M20"/>
  <c r="L32"/>
  <c r="D11" i="8"/>
  <c r="D28" i="10"/>
  <c r="E28"/>
  <c r="E9"/>
  <c r="M24"/>
  <c r="J10"/>
  <c r="F26"/>
  <c r="M26"/>
  <c r="F23"/>
  <c r="F19"/>
  <c r="F27"/>
  <c r="J78" i="9"/>
  <c r="N10" i="10"/>
  <c r="L10"/>
  <c r="I10"/>
  <c r="I16"/>
  <c r="K10"/>
  <c r="K16"/>
  <c r="P11" i="4"/>
  <c r="B71"/>
  <c r="Q11"/>
  <c r="C71"/>
  <c r="G71"/>
  <c r="F101" i="9"/>
  <c r="N261" i="12"/>
  <c r="J126" i="9"/>
  <c r="C13" i="13"/>
  <c r="G37" i="4"/>
  <c r="C46"/>
  <c r="E4" i="14"/>
  <c r="F19"/>
  <c r="E4" i="15"/>
  <c r="M27" i="10"/>
  <c r="I27"/>
  <c r="K27"/>
  <c r="I23"/>
  <c r="M23"/>
  <c r="M19"/>
  <c r="I19"/>
  <c r="K19"/>
  <c r="I26"/>
  <c r="F26" i="14"/>
  <c r="F25"/>
  <c r="F27"/>
  <c r="M27"/>
  <c r="F18"/>
  <c r="M18"/>
  <c r="F22"/>
  <c r="F21"/>
  <c r="I21"/>
  <c r="K21"/>
  <c r="F17"/>
  <c r="F23"/>
  <c r="F24"/>
  <c r="I24"/>
  <c r="F17" i="15"/>
  <c r="F10"/>
  <c r="L10"/>
  <c r="F27"/>
  <c r="F26"/>
  <c r="F25"/>
  <c r="M25"/>
  <c r="F24"/>
  <c r="F23"/>
  <c r="F22"/>
  <c r="F21"/>
  <c r="M21"/>
  <c r="F20"/>
  <c r="F19"/>
  <c r="F18"/>
  <c r="K23" i="10"/>
  <c r="H19"/>
  <c r="G19"/>
  <c r="I18" i="15"/>
  <c r="M18"/>
  <c r="M20"/>
  <c r="I20"/>
  <c r="M22"/>
  <c r="I22"/>
  <c r="M24"/>
  <c r="I24"/>
  <c r="H24"/>
  <c r="G24"/>
  <c r="M26"/>
  <c r="I26"/>
  <c r="I10"/>
  <c r="I14"/>
  <c r="K10"/>
  <c r="K14"/>
  <c r="O10"/>
  <c r="J10"/>
  <c r="M17" i="14"/>
  <c r="K17"/>
  <c r="I17"/>
  <c r="H17"/>
  <c r="G17"/>
  <c r="I18"/>
  <c r="M26"/>
  <c r="I26"/>
  <c r="M19" i="15"/>
  <c r="I19"/>
  <c r="M23"/>
  <c r="I23"/>
  <c r="I25"/>
  <c r="M27"/>
  <c r="I27"/>
  <c r="K17"/>
  <c r="M24" i="14"/>
  <c r="M23"/>
  <c r="I23"/>
  <c r="M21"/>
  <c r="H21"/>
  <c r="G21"/>
  <c r="I22"/>
  <c r="M22"/>
  <c r="I27"/>
  <c r="M25"/>
  <c r="I25"/>
  <c r="K25"/>
  <c r="H25"/>
  <c r="G25"/>
  <c r="K23"/>
  <c r="H23"/>
  <c r="G23"/>
  <c r="K26"/>
  <c r="K26" i="15"/>
  <c r="H26"/>
  <c r="G26"/>
  <c r="K24"/>
  <c r="K22"/>
  <c r="H22"/>
  <c r="G22"/>
  <c r="K20"/>
  <c r="H20"/>
  <c r="G20"/>
  <c r="K22" i="14"/>
  <c r="H22"/>
  <c r="G22"/>
  <c r="K27" i="15"/>
  <c r="H27"/>
  <c r="G27"/>
  <c r="K23"/>
  <c r="H23"/>
  <c r="G23"/>
  <c r="K19"/>
  <c r="H19"/>
  <c r="G19"/>
  <c r="K18"/>
  <c r="H18"/>
  <c r="G18"/>
  <c r="H20" i="10"/>
  <c r="G20"/>
  <c r="C9" i="13"/>
  <c r="I30" i="10"/>
  <c r="H30"/>
  <c r="G30"/>
  <c r="I31"/>
  <c r="B82" i="4"/>
  <c r="F38"/>
  <c r="G38"/>
  <c r="J32" i="9"/>
  <c r="J10"/>
  <c r="K24" i="10"/>
  <c r="H24"/>
  <c r="G24"/>
  <c r="K26"/>
  <c r="H26"/>
  <c r="G26"/>
  <c r="K30"/>
  <c r="K31"/>
  <c r="H31"/>
  <c r="G31"/>
  <c r="I29"/>
  <c r="M29"/>
  <c r="R28" i="4"/>
  <c r="C87"/>
  <c r="Q28"/>
  <c r="B87"/>
  <c r="G42"/>
  <c r="F22" i="9"/>
  <c r="F6"/>
  <c r="D22"/>
  <c r="K27" i="14"/>
  <c r="H27"/>
  <c r="G27"/>
  <c r="H26"/>
  <c r="G26"/>
  <c r="M17" i="15"/>
  <c r="I17"/>
  <c r="M19" i="14"/>
  <c r="I19"/>
  <c r="G13" i="13"/>
  <c r="F13"/>
  <c r="E13"/>
  <c r="H16" i="10"/>
  <c r="G16"/>
  <c r="J63" i="9"/>
  <c r="J105"/>
  <c r="J116"/>
  <c r="P19" i="4"/>
  <c r="B73"/>
  <c r="Q19"/>
  <c r="I21" i="15"/>
  <c r="D13" i="13"/>
  <c r="K25" i="15"/>
  <c r="H25"/>
  <c r="G25"/>
  <c r="K18" i="14"/>
  <c r="H18"/>
  <c r="G18"/>
  <c r="H23" i="10"/>
  <c r="G23"/>
  <c r="K24" i="14"/>
  <c r="H24"/>
  <c r="G24"/>
  <c r="K28" i="10"/>
  <c r="H28"/>
  <c r="G28"/>
  <c r="F78" i="9"/>
  <c r="D27" i="10"/>
  <c r="E27"/>
  <c r="F63" i="9"/>
  <c r="F115"/>
  <c r="N10" i="15"/>
  <c r="M10"/>
  <c r="M14"/>
  <c r="H14"/>
  <c r="G14"/>
  <c r="F20" i="14"/>
  <c r="F10"/>
  <c r="E29" i="4"/>
  <c r="J25" i="9"/>
  <c r="F89"/>
  <c r="D29" i="10"/>
  <c r="E29"/>
  <c r="D26"/>
  <c r="E26"/>
  <c r="H23" i="7"/>
  <c r="F103" i="9"/>
  <c r="F39" i="5"/>
  <c r="R40" i="4"/>
  <c r="C89"/>
  <c r="F23" i="9"/>
  <c r="D10" i="10"/>
  <c r="E10"/>
  <c r="F39" i="4"/>
  <c r="G39"/>
  <c r="E27"/>
  <c r="D29"/>
  <c r="P15"/>
  <c r="B72"/>
  <c r="F72"/>
  <c r="Q15"/>
  <c r="C72"/>
  <c r="F7"/>
  <c r="F89"/>
  <c r="G89"/>
  <c r="F67" i="9"/>
  <c r="D22" i="10"/>
  <c r="E22"/>
  <c r="I35" i="9"/>
  <c r="I40"/>
  <c r="I114"/>
  <c r="I87"/>
  <c r="I88"/>
  <c r="J6" i="7"/>
  <c r="H6"/>
  <c r="F98" i="9"/>
  <c r="H27" i="10"/>
  <c r="G27"/>
  <c r="K22"/>
  <c r="H22"/>
  <c r="G22"/>
  <c r="F81" i="9"/>
  <c r="F10" i="6"/>
  <c r="H29" i="9"/>
  <c r="G29"/>
  <c r="Q23" i="4"/>
  <c r="C73"/>
  <c r="F73"/>
  <c r="G73"/>
  <c r="P23"/>
  <c r="B74"/>
  <c r="F74"/>
  <c r="G74"/>
  <c r="M21" i="10"/>
  <c r="I21"/>
  <c r="J10" i="7"/>
  <c r="H11"/>
  <c r="F100" i="9"/>
  <c r="D100"/>
  <c r="Q36" i="4"/>
  <c r="B88"/>
  <c r="F88"/>
  <c r="G88"/>
  <c r="J15" i="15"/>
  <c r="J16"/>
  <c r="O15"/>
  <c r="O16"/>
  <c r="M15"/>
  <c r="I15"/>
  <c r="I16"/>
  <c r="K15"/>
  <c r="K16"/>
  <c r="N15"/>
  <c r="N16"/>
  <c r="L15"/>
  <c r="L16"/>
  <c r="F93" i="4"/>
  <c r="F34" i="9"/>
  <c r="G93" i="4"/>
  <c r="F36" i="9"/>
  <c r="K21" i="10"/>
  <c r="H21"/>
  <c r="G21"/>
  <c r="F12" i="9"/>
  <c r="D12"/>
  <c r="D23"/>
  <c r="D42"/>
  <c r="D55"/>
  <c r="D60"/>
  <c r="D73"/>
  <c r="D18"/>
  <c r="D107"/>
  <c r="D99"/>
  <c r="D102"/>
  <c r="D57"/>
  <c r="D46"/>
  <c r="D53"/>
  <c r="D71"/>
  <c r="D54"/>
  <c r="D77"/>
  <c r="D51"/>
  <c r="D47"/>
  <c r="D111"/>
  <c r="D58"/>
  <c r="D48"/>
  <c r="D113"/>
  <c r="C48" i="4"/>
  <c r="B48"/>
  <c r="C47"/>
  <c r="B47"/>
  <c r="D86" i="9"/>
  <c r="D74"/>
  <c r="D24"/>
  <c r="D85"/>
  <c r="D45"/>
  <c r="D75"/>
  <c r="D62"/>
  <c r="D76"/>
  <c r="D94"/>
  <c r="C49" i="4"/>
  <c r="B49"/>
  <c r="D91" i="9"/>
  <c r="D109"/>
  <c r="D59"/>
  <c r="D13"/>
  <c r="D56"/>
  <c r="D61"/>
  <c r="D70"/>
  <c r="D66"/>
  <c r="C50" i="4"/>
  <c r="B50"/>
  <c r="D112" i="9"/>
  <c r="D108"/>
  <c r="D50"/>
  <c r="D65"/>
  <c r="D82"/>
  <c r="D52"/>
  <c r="D49"/>
  <c r="D69"/>
  <c r="D95"/>
  <c r="D72"/>
  <c r="D101"/>
  <c r="F9" i="4"/>
  <c r="F16" i="9"/>
  <c r="G7" i="4"/>
  <c r="G9"/>
  <c r="F17" i="9"/>
  <c r="K10" i="14"/>
  <c r="K14"/>
  <c r="J10"/>
  <c r="L10"/>
  <c r="O10"/>
  <c r="N10"/>
  <c r="M10"/>
  <c r="M14"/>
  <c r="I10"/>
  <c r="I14"/>
  <c r="O17" i="10"/>
  <c r="O18"/>
  <c r="I17"/>
  <c r="I18"/>
  <c r="J17"/>
  <c r="J18"/>
  <c r="L17"/>
  <c r="L18"/>
  <c r="M17"/>
  <c r="M18"/>
  <c r="K17"/>
  <c r="K18"/>
  <c r="N17"/>
  <c r="N18"/>
  <c r="K19" i="14"/>
  <c r="H19"/>
  <c r="G19"/>
  <c r="I100" i="9"/>
  <c r="H100"/>
  <c r="G100"/>
  <c r="I20" i="14"/>
  <c r="M20"/>
  <c r="D110" i="9"/>
  <c r="F42" i="4"/>
  <c r="F21" i="9"/>
  <c r="H13" i="13"/>
  <c r="K29" i="10"/>
  <c r="H29"/>
  <c r="G29"/>
  <c r="F83" i="9"/>
  <c r="D81"/>
  <c r="F104"/>
  <c r="D98"/>
  <c r="G72" i="4"/>
  <c r="G75"/>
  <c r="F41" i="9"/>
  <c r="D41"/>
  <c r="F75" i="4"/>
  <c r="F39" i="9"/>
  <c r="D103"/>
  <c r="M16" i="15"/>
  <c r="M28"/>
  <c r="M29"/>
  <c r="P193" i="12"/>
  <c r="D115" i="9"/>
  <c r="K21" i="15"/>
  <c r="H21"/>
  <c r="G21"/>
  <c r="J122" i="9"/>
  <c r="J127"/>
  <c r="H17" i="15"/>
  <c r="G17"/>
  <c r="K32" i="10"/>
  <c r="K33"/>
  <c r="I72" i="9"/>
  <c r="G72"/>
  <c r="H72"/>
  <c r="G70"/>
  <c r="I70"/>
  <c r="H70"/>
  <c r="I94"/>
  <c r="D96"/>
  <c r="G94"/>
  <c r="G95"/>
  <c r="G96"/>
  <c r="H94"/>
  <c r="I86"/>
  <c r="G86"/>
  <c r="H86"/>
  <c r="G51"/>
  <c r="I51"/>
  <c r="H51"/>
  <c r="H41"/>
  <c r="G41"/>
  <c r="I41"/>
  <c r="F25"/>
  <c r="D21"/>
  <c r="D25"/>
  <c r="D7" i="10"/>
  <c r="M32"/>
  <c r="M33"/>
  <c r="D21"/>
  <c r="E21"/>
  <c r="D17" i="9"/>
  <c r="F11"/>
  <c r="D11"/>
  <c r="H95"/>
  <c r="I95"/>
  <c r="I82"/>
  <c r="G82"/>
  <c r="H82"/>
  <c r="H112"/>
  <c r="G112"/>
  <c r="I112"/>
  <c r="H61"/>
  <c r="I61"/>
  <c r="G61"/>
  <c r="G109"/>
  <c r="H109"/>
  <c r="I109"/>
  <c r="G76"/>
  <c r="I76"/>
  <c r="H76"/>
  <c r="D89"/>
  <c r="G85"/>
  <c r="G89"/>
  <c r="I85"/>
  <c r="I89"/>
  <c r="H85"/>
  <c r="I58"/>
  <c r="G58"/>
  <c r="H58"/>
  <c r="I77"/>
  <c r="H77"/>
  <c r="G77"/>
  <c r="G46"/>
  <c r="H46"/>
  <c r="I46"/>
  <c r="I107"/>
  <c r="G107"/>
  <c r="H107"/>
  <c r="G55"/>
  <c r="H55"/>
  <c r="I55"/>
  <c r="F43"/>
  <c r="D39"/>
  <c r="K20" i="14"/>
  <c r="H20"/>
  <c r="G20"/>
  <c r="H18" i="10"/>
  <c r="I32"/>
  <c r="I33"/>
  <c r="H52" i="9"/>
  <c r="G52"/>
  <c r="I52"/>
  <c r="I59"/>
  <c r="H59"/>
  <c r="G59"/>
  <c r="H48"/>
  <c r="I48"/>
  <c r="G48"/>
  <c r="G99"/>
  <c r="H99"/>
  <c r="I99"/>
  <c r="I28" i="15"/>
  <c r="I29"/>
  <c r="H16"/>
  <c r="H98" i="9"/>
  <c r="D104"/>
  <c r="I98"/>
  <c r="G98"/>
  <c r="I110"/>
  <c r="H110"/>
  <c r="G110"/>
  <c r="H14" i="14"/>
  <c r="G14"/>
  <c r="D19" i="10"/>
  <c r="E19"/>
  <c r="F19" i="9"/>
  <c r="D16"/>
  <c r="F10"/>
  <c r="G69"/>
  <c r="G71"/>
  <c r="G75"/>
  <c r="G73"/>
  <c r="G74"/>
  <c r="G78"/>
  <c r="H69"/>
  <c r="D78"/>
  <c r="I69"/>
  <c r="H65"/>
  <c r="D67"/>
  <c r="I65"/>
  <c r="G65"/>
  <c r="I56"/>
  <c r="H56"/>
  <c r="G56"/>
  <c r="H91"/>
  <c r="H92"/>
  <c r="G91"/>
  <c r="G92"/>
  <c r="D92"/>
  <c r="I91"/>
  <c r="I92"/>
  <c r="H62"/>
  <c r="I62"/>
  <c r="G62"/>
  <c r="H24"/>
  <c r="G24"/>
  <c r="I24"/>
  <c r="H111"/>
  <c r="G111"/>
  <c r="I111"/>
  <c r="I54"/>
  <c r="H54"/>
  <c r="G54"/>
  <c r="I57"/>
  <c r="G57"/>
  <c r="H57"/>
  <c r="I18"/>
  <c r="G18"/>
  <c r="G13"/>
  <c r="H18"/>
  <c r="H13"/>
  <c r="G42"/>
  <c r="I42"/>
  <c r="H42"/>
  <c r="D31"/>
  <c r="H81"/>
  <c r="H83"/>
  <c r="D83"/>
  <c r="I81"/>
  <c r="I83"/>
  <c r="G81"/>
  <c r="G83"/>
  <c r="H108"/>
  <c r="I108"/>
  <c r="G108"/>
  <c r="D63"/>
  <c r="G45"/>
  <c r="I45"/>
  <c r="H45"/>
  <c r="H53"/>
  <c r="G53"/>
  <c r="I53"/>
  <c r="H60"/>
  <c r="G60"/>
  <c r="I60"/>
  <c r="F28"/>
  <c r="F37"/>
  <c r="D34"/>
  <c r="G103"/>
  <c r="I103"/>
  <c r="H103"/>
  <c r="D24" i="10"/>
  <c r="E24"/>
  <c r="H101" i="9"/>
  <c r="I101"/>
  <c r="G101"/>
  <c r="H49"/>
  <c r="G49"/>
  <c r="I49"/>
  <c r="H50"/>
  <c r="I50"/>
  <c r="G50"/>
  <c r="G66"/>
  <c r="I66"/>
  <c r="H66"/>
  <c r="I75"/>
  <c r="H75"/>
  <c r="I74"/>
  <c r="H74"/>
  <c r="H113"/>
  <c r="I113"/>
  <c r="G113"/>
  <c r="I47"/>
  <c r="G47"/>
  <c r="H47"/>
  <c r="H71"/>
  <c r="I71"/>
  <c r="I102"/>
  <c r="H102"/>
  <c r="G102"/>
  <c r="I73"/>
  <c r="H73"/>
  <c r="G23"/>
  <c r="G12"/>
  <c r="I23"/>
  <c r="I12"/>
  <c r="H23"/>
  <c r="H12"/>
  <c r="F30"/>
  <c r="D36"/>
  <c r="D8" i="10"/>
  <c r="E8"/>
  <c r="K28" i="15"/>
  <c r="K29"/>
  <c r="P125" i="12"/>
  <c r="F32" i="9"/>
  <c r="F105"/>
  <c r="G115"/>
  <c r="I63"/>
  <c r="G67"/>
  <c r="I78"/>
  <c r="D10"/>
  <c r="D14"/>
  <c r="F14"/>
  <c r="H104"/>
  <c r="I115"/>
  <c r="C12" i="13"/>
  <c r="I126" i="9"/>
  <c r="N193" i="12"/>
  <c r="H67" i="9"/>
  <c r="H36"/>
  <c r="I36"/>
  <c r="D30"/>
  <c r="G36"/>
  <c r="K12"/>
  <c r="L12"/>
  <c r="G63"/>
  <c r="I13"/>
  <c r="I67"/>
  <c r="D19"/>
  <c r="G16"/>
  <c r="H16"/>
  <c r="I16"/>
  <c r="I15" i="14"/>
  <c r="I16"/>
  <c r="J15"/>
  <c r="J16"/>
  <c r="O15"/>
  <c r="O16"/>
  <c r="N15"/>
  <c r="N16"/>
  <c r="K15"/>
  <c r="K16"/>
  <c r="K28"/>
  <c r="K29"/>
  <c r="O125" i="12"/>
  <c r="L15" i="14"/>
  <c r="L16"/>
  <c r="M15"/>
  <c r="M16"/>
  <c r="M28"/>
  <c r="M29"/>
  <c r="O193" i="12"/>
  <c r="G104" i="9"/>
  <c r="G16" i="15"/>
  <c r="G28"/>
  <c r="H28"/>
  <c r="N57" i="12"/>
  <c r="C10" i="13"/>
  <c r="G126" i="9"/>
  <c r="I36" i="10"/>
  <c r="H39" i="9"/>
  <c r="H43"/>
  <c r="G39"/>
  <c r="G43"/>
  <c r="D43"/>
  <c r="I39"/>
  <c r="I43"/>
  <c r="I17"/>
  <c r="G17"/>
  <c r="H17"/>
  <c r="E7" i="10"/>
  <c r="D16"/>
  <c r="I96" i="9"/>
  <c r="H63"/>
  <c r="I31"/>
  <c r="H31"/>
  <c r="G31"/>
  <c r="H34"/>
  <c r="I34"/>
  <c r="D37"/>
  <c r="D28"/>
  <c r="G34"/>
  <c r="H78"/>
  <c r="I104"/>
  <c r="P57" i="12"/>
  <c r="I32" i="15"/>
  <c r="G18" i="10"/>
  <c r="G32"/>
  <c r="H32"/>
  <c r="H115" i="9"/>
  <c r="H89"/>
  <c r="H96"/>
  <c r="N125" i="12"/>
  <c r="H126" i="9"/>
  <c r="F116"/>
  <c r="F123"/>
  <c r="H37"/>
  <c r="G19"/>
  <c r="D32"/>
  <c r="D105"/>
  <c r="D116"/>
  <c r="H28"/>
  <c r="G28"/>
  <c r="I28"/>
  <c r="H16" i="14"/>
  <c r="I28"/>
  <c r="I29"/>
  <c r="E10" i="13"/>
  <c r="D10"/>
  <c r="C11"/>
  <c r="F10"/>
  <c r="G10"/>
  <c r="I19" i="9"/>
  <c r="G37"/>
  <c r="I37"/>
  <c r="E16" i="10"/>
  <c r="E6"/>
  <c r="D6"/>
  <c r="H19" i="9"/>
  <c r="H30"/>
  <c r="G30"/>
  <c r="I30"/>
  <c r="G12" i="13"/>
  <c r="E12"/>
  <c r="D12"/>
  <c r="F12"/>
  <c r="H12"/>
  <c r="K13" i="9"/>
  <c r="L13"/>
  <c r="I32"/>
  <c r="I105"/>
  <c r="G11" i="13"/>
  <c r="E11"/>
  <c r="O57" i="12"/>
  <c r="I32" i="14"/>
  <c r="G32" i="9"/>
  <c r="G105"/>
  <c r="H21"/>
  <c r="H22"/>
  <c r="G21"/>
  <c r="G22"/>
  <c r="F11" i="13"/>
  <c r="G16" i="14"/>
  <c r="G28"/>
  <c r="H28"/>
  <c r="H32" i="9"/>
  <c r="H105"/>
  <c r="H10" i="13"/>
  <c r="D11"/>
  <c r="I21" i="9"/>
  <c r="I22"/>
  <c r="H11" i="13"/>
  <c r="K35" i="9"/>
  <c r="G11"/>
  <c r="K36"/>
  <c r="L35"/>
  <c r="H11"/>
  <c r="L36"/>
  <c r="H25"/>
  <c r="H10"/>
  <c r="H14"/>
  <c r="H116"/>
  <c r="L34"/>
  <c r="M35"/>
  <c r="M36"/>
  <c r="I11"/>
  <c r="I25"/>
  <c r="I10"/>
  <c r="M34"/>
  <c r="M33"/>
  <c r="P33"/>
  <c r="G25"/>
  <c r="K25"/>
  <c r="L25"/>
  <c r="G10"/>
  <c r="K34"/>
  <c r="K33"/>
  <c r="N33"/>
  <c r="I14"/>
  <c r="I116"/>
  <c r="I122"/>
  <c r="L33"/>
  <c r="O33"/>
  <c r="H122"/>
  <c r="H127"/>
  <c r="K10"/>
  <c r="L10"/>
  <c r="G14"/>
  <c r="K11"/>
  <c r="L11"/>
  <c r="I127"/>
  <c r="K14"/>
  <c r="L14"/>
  <c r="G116"/>
  <c r="K116"/>
  <c r="L116"/>
  <c r="G122"/>
  <c r="G123"/>
  <c r="G124"/>
  <c r="G127"/>
</calcChain>
</file>

<file path=xl/sharedStrings.xml><?xml version="1.0" encoding="utf-8"?>
<sst xmlns="http://schemas.openxmlformats.org/spreadsheetml/2006/main" count="1099" uniqueCount="401">
  <si>
    <t>Наименование муниципального учреждения (обособленного подразделения)</t>
  </si>
  <si>
    <t>Виды деятельности муниципального учреждения (обособленного подразделения)</t>
  </si>
  <si>
    <t>Вид муниципального учреждения</t>
  </si>
  <si>
    <t>(указывается вид муниципального учреждения из базового (отраслевого) перечня)</t>
  </si>
  <si>
    <t>по Сводному реестру</t>
  </si>
  <si>
    <t>по ОКВЭД</t>
  </si>
  <si>
    <t>Дата</t>
  </si>
  <si>
    <t>Форма по ОКУД</t>
  </si>
  <si>
    <t>0506001</t>
  </si>
  <si>
    <t>Коды</t>
  </si>
  <si>
    <t>УТВЕРЖДАЮ</t>
  </si>
  <si>
    <t>Часть 1. Сведения об оказываемых муниципальных услугах &lt;1&gt;</t>
  </si>
  <si>
    <t>1. Наименование муниципальной услуги</t>
  </si>
  <si>
    <t>2. Категории потребителей муниципальной услуги</t>
  </si>
  <si>
    <t>Уникальный номер</t>
  </si>
  <si>
    <t>по базовому (отраслевому)</t>
  </si>
  <si>
    <t>перечню</t>
  </si>
  <si>
    <t>3. Показатели, характеризующие объем и (или) качество муниципальной услуги:</t>
  </si>
  <si>
    <t>Начальник Управления образования</t>
  </si>
  <si>
    <t>города Пензы</t>
  </si>
  <si>
    <t>3.1. Показатели, характеризующие качество муниципальной услуги &lt;2&gt;:</t>
  </si>
  <si>
    <t>Уникальный номер реестровой записи</t>
  </si>
  <si>
    <t>Показатель, характеризующий содержание муниципальной услуги</t>
  </si>
  <si>
    <t>(наименование показателя)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</si>
  <si>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</si>
  <si>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</si>
  <si>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</si>
  <si>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единица измерения по ОКЕИ</t>
  </si>
  <si>
    <t>код</t>
  </si>
  <si>
    <t>наименование</t>
  </si>
  <si>
    <t>Наименование показателя</t>
  </si>
  <si>
    <t xml:space="preserve">допустимые (возможные) отклонения от установленных показателей качества муниципальной услуги, в пределах которых муниципальное задание считается </t>
  </si>
  <si>
    <t>выполненным (процентов)</t>
  </si>
  <si>
    <t>Показатель объема муниципальной услуги</t>
  </si>
  <si>
    <t>Значение показателя объема муниципальной услуги</t>
  </si>
  <si>
    <t>Среднеговой размер платы (цена, тариф)</t>
  </si>
  <si>
    <t xml:space="preserve">допустимые (возможные) отклонения от установленных показателей объема муниципальной услуги, в пределах которых муниципальное задание считается </t>
  </si>
  <si>
    <t>наименование на оказание муниципальной услуги (работы)</t>
  </si>
  <si>
    <t>&lt;1&gt; 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</t>
  </si>
  <si>
    <t>услуги (услуг) раздельно по каждой из муниципальных услуг с указанием порядкового номера раздела</t>
  </si>
  <si>
    <t>&lt;2&gt; Заполняется при установлении показателей, характеризующих качество муниципальной услуги, в ведомственном перечне муниципальных услуг и работ</t>
  </si>
  <si>
    <t>3.2. Показатели, характеризующие объем муниципальной услуги:</t>
  </si>
  <si>
    <t>4. Нормативные правовые акты, устанавливающие размер платы (цену, тариф) либо порядок ее (его) установления:</t>
  </si>
  <si>
    <t>вид</t>
  </si>
  <si>
    <t>принявший орган</t>
  </si>
  <si>
    <t>дата</t>
  </si>
  <si>
    <t>номер</t>
  </si>
  <si>
    <t>Нормативный правовой акт</t>
  </si>
  <si>
    <t>5. Порядок оказания муниципальной услуги</t>
  </si>
  <si>
    <t>5.1. Нормативные правовые акты, регулирующие порядок оказания муниципальной услуги:</t>
  </si>
  <si>
    <t>(наименование, номер и дата нормативного правового акта)</t>
  </si>
  <si>
    <t>5.2. Порядок 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</si>
  <si>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</si>
  <si>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</si>
  <si>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</si>
  <si>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 &lt;1&gt;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</si>
  <si>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</si>
  <si>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</si>
  <si>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</si>
  <si>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3.1. Показатели, характеризующие качество работы &lt;2&gt;:</t>
  </si>
  <si>
    <t>Показатель, характеризующий содержание работы (по справочникам)</t>
  </si>
  <si>
    <t>Показатель, характеризующий условия (формы)  выполнения работы (по справочникам)</t>
  </si>
  <si>
    <t>Показатель качества работы</t>
  </si>
  <si>
    <t xml:space="preserve">допустимые (возможные) отклонения от установленных показателей качества работы, в пределах которых муниципальное задание считается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</si>
  <si>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</si>
  <si>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</si>
  <si>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</si>
  <si>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 xml:space="preserve">допустимые (возможные) отклонения от установленных показателей объема работы, в пределах которых муниципальное задание считается </t>
  </si>
  <si>
    <t>Часть 3. Прочие сведения о муниципальном задании &lt;1&gt;</t>
  </si>
  <si>
    <t>1. Основание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</si>
  <si>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</si>
  <si>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Форма контроля</t>
  </si>
  <si>
    <t>Периодичность</t>
  </si>
  <si>
    <t>Федеральные органы исполнительной власти,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</si>
  <si>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</si>
  <si>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</si>
  <si>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</si>
  <si>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</si>
  <si>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 &lt;2&gt;</t>
  </si>
  <si>
    <t>&lt;1&gt; Заполняется вцелом по муниципальному заданию</t>
  </si>
  <si>
    <t>&lt;2&gt; В числе иных показателей может быть указано допустимое (возможное) отклонение муниципального задания, в пределах которого оно считается выполненным,</t>
  </si>
  <si>
    <t>при принятии органом, осуществляющим функции и полномочия учредителя бюджетных или автономных учреждений, решения об установлении общего допустимого (возможного)</t>
  </si>
  <si>
    <t>отклонения от выполнения муниципального задания, в пределах которого оно считается выполненным (в процентах). В этом случае допустимые (возможные) отклонения,</t>
  </si>
  <si>
    <t>предусмотренные в пп. 3.1 и 3.2 настоящего муниципального задания, не заполняются</t>
  </si>
  <si>
    <t>начального общего образования</t>
  </si>
  <si>
    <t xml:space="preserve">Реализация основных общеобразовательных программ </t>
  </si>
  <si>
    <t>физические лица</t>
  </si>
  <si>
    <t>очная</t>
  </si>
  <si>
    <t>Очно-заочная</t>
  </si>
  <si>
    <t>Число обучающихся</t>
  </si>
  <si>
    <t>человек</t>
  </si>
  <si>
    <t>Образование и наука</t>
  </si>
  <si>
    <t>Общеобразовательная организация</t>
  </si>
  <si>
    <t>11.787.0</t>
  </si>
  <si>
    <t>Удельный вес учащихся, освоивших программы начального общего, основного общего, среднего общего образования по результатам промежуточной аттестации</t>
  </si>
  <si>
    <t>Процент</t>
  </si>
  <si>
    <t>основного общего образования</t>
  </si>
  <si>
    <t>11.791.0</t>
  </si>
  <si>
    <t>среднего общего образования</t>
  </si>
  <si>
    <t>11.794.0</t>
  </si>
  <si>
    <t>11.788.0</t>
  </si>
  <si>
    <t>Физические лица с ограниченными возможностями здоровья и дети-инвалиды</t>
  </si>
  <si>
    <t xml:space="preserve">Организация и проведение олимпиад, конкурсов, мероприятий, </t>
  </si>
  <si>
    <t>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</si>
  <si>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В интересах общества</t>
  </si>
  <si>
    <t>Доля победителей и призеров городского, областного, всероссийского, международного уровней (олимпиады, конкурсы, соревнования и иные конкурсные мероприятия для обучающихся) от общего количества участников названных мероприятий</t>
  </si>
  <si>
    <t>Количество мероприятий</t>
  </si>
  <si>
    <t>штука</t>
  </si>
  <si>
    <t>11.034.1</t>
  </si>
  <si>
    <t>итого</t>
  </si>
  <si>
    <t>начисления на оплату труда</t>
  </si>
  <si>
    <t>норматив</t>
  </si>
  <si>
    <t>k увеличения</t>
  </si>
  <si>
    <t>количество месяцев</t>
  </si>
  <si>
    <t>k стимулирования</t>
  </si>
  <si>
    <t>Оклад с учетом k специфики</t>
  </si>
  <si>
    <t>кол-во ставок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</si>
  <si>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Пензенской области)</t>
  </si>
  <si>
    <t xml:space="preserve"> </t>
  </si>
  <si>
    <t>расходы на на получение компенсационных выплат по уходу за ребенком</t>
  </si>
  <si>
    <t>количество работников, имеющих право на получение компенсационных выплат по уходу за ребенком</t>
  </si>
  <si>
    <t>норматив на а компенсационные выплаты по уходу за ребенком</t>
  </si>
  <si>
    <t>Нормативные затраты на оплату труда и начисления на выплаты по оплате труда персонала, не принимающего непосредственное участие в оказании муниципальной услуги (за счет бюджета города Пензы)</t>
  </si>
  <si>
    <t>Расчет норматива затрат ,непосредственно  не связанных с оказанием муниципальной услуги</t>
  </si>
  <si>
    <t>приложение 2</t>
  </si>
  <si>
    <t>прочие</t>
  </si>
  <si>
    <t>учителя</t>
  </si>
  <si>
    <t>всего</t>
  </si>
  <si>
    <t xml:space="preserve">Расходы  </t>
  </si>
  <si>
    <t xml:space="preserve">кол-во </t>
  </si>
  <si>
    <t xml:space="preserve">Норматив  </t>
  </si>
  <si>
    <t>КОСГУ</t>
  </si>
  <si>
    <t>Норматив   на   приобретение   материальных   запасов, потребляемых в процессе оказания муниципальной услуги ( за счет бюджета Пензенской области) .</t>
  </si>
  <si>
    <t>кол-во месяцев</t>
  </si>
  <si>
    <t>кол-во ставок учителей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</si>
  <si>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Пензенской области) .</t>
  </si>
  <si>
    <t>доведение на оклады</t>
  </si>
  <si>
    <t>стимуляция</t>
  </si>
  <si>
    <t>без стимуляции</t>
  </si>
  <si>
    <t>ставки</t>
  </si>
  <si>
    <t>ФЗП в мес</t>
  </si>
  <si>
    <t>субвенция</t>
  </si>
  <si>
    <t>Средняя ставка на класс</t>
  </si>
  <si>
    <t>кол-во классных руководителей</t>
  </si>
  <si>
    <t xml:space="preserve"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федерального бюджета) . </t>
  </si>
  <si>
    <t xml:space="preserve">количество </t>
  </si>
  <si>
    <t xml:space="preserve">Норматив   </t>
  </si>
  <si>
    <t>Норматив   на   приобретение   материальных   запасов, потребляемых в процессе оказания муниципальной услуги ( за счет бюджета города Пензы) .</t>
  </si>
  <si>
    <t>местный</t>
  </si>
  <si>
    <t>таблица для расчета заработной платы</t>
  </si>
  <si>
    <t>Нормативные затраты на оплату труда и начисления на выплаты по оплате труда персонала, принимающего непосредственное участие в оказании муниципальной услуги ( за счет бюджета города Пензы) .</t>
  </si>
  <si>
    <t>Расчет норматива затрат, непосредственно связанных с оказанием муниципальной услуги</t>
  </si>
  <si>
    <t>приложение 1</t>
  </si>
  <si>
    <t>Знаки ГТО</t>
  </si>
  <si>
    <t>запасные части</t>
  </si>
  <si>
    <t xml:space="preserve">приобритение материальных запасов </t>
  </si>
  <si>
    <t>аттестация рабочих мест</t>
  </si>
  <si>
    <t>ЭЦП</t>
  </si>
  <si>
    <t>обслуживание тревожной кнопки</t>
  </si>
  <si>
    <t xml:space="preserve">нормативные затраты </t>
  </si>
  <si>
    <t>количество ед. услуг</t>
  </si>
  <si>
    <t>стоимость</t>
  </si>
  <si>
    <t>Прочие нормативные затраты на общехозяйственные нужды</t>
  </si>
  <si>
    <t xml:space="preserve">приобретение транспортных услуг </t>
  </si>
  <si>
    <t xml:space="preserve">Нормативные затраты на приобретение услуг связи и приобретение транспортных услуг </t>
  </si>
  <si>
    <t>Тех.обслуживание средств радиомодема прямой связи</t>
  </si>
  <si>
    <t>Утилизация ртутосодержащих отходов</t>
  </si>
  <si>
    <t>заправка картриджей</t>
  </si>
  <si>
    <t>Тревожная кнопка</t>
  </si>
  <si>
    <t>поверка ремонт теплосчетчиков</t>
  </si>
  <si>
    <t>дератизация</t>
  </si>
  <si>
    <t>вывоз мусора</t>
  </si>
  <si>
    <t xml:space="preserve">Нормативные затраты на содержание недвижимого имущества </t>
  </si>
  <si>
    <t>приложение 3</t>
  </si>
  <si>
    <t xml:space="preserve"> Прочие нормативные затраты на содержание  движимого имущества</t>
  </si>
  <si>
    <t>Автострахование</t>
  </si>
  <si>
    <t>нормативные затраты на коммунальные услуги</t>
  </si>
  <si>
    <t>объем потребления</t>
  </si>
  <si>
    <t>тариф</t>
  </si>
  <si>
    <t xml:space="preserve"> Нормативные затраты на обязательное страхование гражданской ответственности владельцев транспортных средств</t>
  </si>
  <si>
    <t>Лакокрасочные материалы</t>
  </si>
  <si>
    <t>Зап.части</t>
  </si>
  <si>
    <t>ГСМ</t>
  </si>
  <si>
    <t>Нормативные затраты на материальные запасы</t>
  </si>
  <si>
    <t>итого затрат</t>
  </si>
  <si>
    <t>тех.обслуживание пожарной сигнализации</t>
  </si>
  <si>
    <t>Текущий ремонт</t>
  </si>
  <si>
    <t>Тех.обслуживание</t>
  </si>
  <si>
    <t xml:space="preserve">Нормативные затраты на содержание движимого имущества </t>
  </si>
  <si>
    <t>приложение 4</t>
  </si>
  <si>
    <t>м3</t>
  </si>
  <si>
    <t>вывоз жидких бытовых отходов и объемов жидких бытовых отходов</t>
  </si>
  <si>
    <t>кВат</t>
  </si>
  <si>
    <t>электрическая энергия</t>
  </si>
  <si>
    <t>гКал</t>
  </si>
  <si>
    <t>тепловая  энергия</t>
  </si>
  <si>
    <t>горячее водоснабжение</t>
  </si>
  <si>
    <t>водоотведение</t>
  </si>
  <si>
    <t>холодное водоснабжение</t>
  </si>
  <si>
    <t>нормативные затраты на коммунальные услуги с учетом увеличения</t>
  </si>
  <si>
    <t>тариф (руб.)</t>
  </si>
  <si>
    <t>ед.измерения</t>
  </si>
  <si>
    <t>Нормативные затраты на коммунальные услуги</t>
  </si>
  <si>
    <t>гос.пошлина</t>
  </si>
  <si>
    <t>экологический сбор</t>
  </si>
  <si>
    <t>Налог на имущество</t>
  </si>
  <si>
    <t>Нормативные затраты на уплату налогов</t>
  </si>
  <si>
    <t>приложение 6</t>
  </si>
  <si>
    <t>Всего по учреждению</t>
  </si>
  <si>
    <t xml:space="preserve">Всего </t>
  </si>
  <si>
    <t>руб.</t>
  </si>
  <si>
    <t>Всего затраты на общехозяйственные нужды</t>
  </si>
  <si>
    <t>2.9. Приобретение коммунальных услуг (приложение 5)</t>
  </si>
  <si>
    <t>2.8 Прочие нормативные затраты на содержание  движимого имущества (приложение 4)</t>
  </si>
  <si>
    <t>2.7 Нормативные затраты на обязательное страхование гражданской ответственности владельцев транспортных средств (приложение 4)</t>
  </si>
  <si>
    <t>2.6 Нормативные затраты на материальные запасы (приложение4)</t>
  </si>
  <si>
    <t>2.5 Нормативные затраты на техническое обслуживание и текущий ремонт объектов движимого имущества (приложение 4)</t>
  </si>
  <si>
    <t xml:space="preserve">3. Затраты на содержание движимого имущества </t>
  </si>
  <si>
    <t>Утилизация</t>
  </si>
  <si>
    <t>2.4.Прочие нормативные затраты на общехозяйственные нужды (приложение3)</t>
  </si>
  <si>
    <t>транспортные услуги</t>
  </si>
  <si>
    <t>2.3. Затраты на приобретение услуг связи (приложение3)</t>
  </si>
  <si>
    <t>обслуживание теплосчетчиков</t>
  </si>
  <si>
    <t>Услуги тревожная кнопка</t>
  </si>
  <si>
    <t>Услуги по дератизации</t>
  </si>
  <si>
    <t>Услуги по тех.обслуживание ТС</t>
  </si>
  <si>
    <t>Услуги по вывозу мусора</t>
  </si>
  <si>
    <t>2.2 Затраты на содержание недвижимого имущества (приложение3)</t>
  </si>
  <si>
    <t>затраты на компенсационные выплаты по уходу за ребенком</t>
  </si>
  <si>
    <t>затраты на  начисления на выплаты по оплате труда  персонала, не принимающего непосредственное участие в оказании муниципальной услуги</t>
  </si>
  <si>
    <t>затраты на оплату труда  персонала, не принимающего непосредственное участие в оказании муниципальной услуги</t>
  </si>
  <si>
    <t>2.1.2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города Пензы)</t>
  </si>
  <si>
    <t>2.1.1 В том числе затраты на оплату труда и начисления на выплаты по оплате труда  персонала, не принимающего непосредственное участие в оказании муниципальной услуги (за счет бюджета Пензенской области)</t>
  </si>
  <si>
    <t>2.1 Затраты на оплату труда и начисления на выплаты по оплате труда  персонала, не принимающего непосредственное участие в оказании муниципальной услуги (приложение2)</t>
  </si>
  <si>
    <t>Нормативные   затраты   на   приобретение   материальных   запасов, потребляемых в процессе оказания муниципальной услуги</t>
  </si>
  <si>
    <t>затраты на  начисления на выплаты по оплате труда и персонала, принимающего непосредственное участие в оказании муниципальной услуги</t>
  </si>
  <si>
    <t>затраты на оплату труда  персонала, принимающего непосредственное участие в оказании муниципальной услуги</t>
  </si>
  <si>
    <t xml:space="preserve">1.3 В том числе затраты, непосредственно связанные с оказанием муниципальной услуги ( за счет бюджета Пензенской области) . </t>
  </si>
  <si>
    <t xml:space="preserve">1.1 В том числе затраты, непосредственно связанные с оказанием муниципальной услуги ( за счет бюджета города Пензы) . </t>
  </si>
  <si>
    <t>1. Затраты, непосредственно связанные с оказанием муниципальной услуги. (приложение1)</t>
  </si>
  <si>
    <t>Общий объем приобретаемых муниципальных услуг (выполняемых работ) (руб)</t>
  </si>
  <si>
    <t>Норматив финансовых затрат на единицу приобретаемой муниципальной услуги (выполняемой работы) (руб.)</t>
  </si>
  <si>
    <t>Единица измерения</t>
  </si>
  <si>
    <t xml:space="preserve">Наименование приобретаемых муниципальных услуг </t>
  </si>
  <si>
    <t>Объем муниципальных услуг в натуральных показателях</t>
  </si>
  <si>
    <t>Объем приобретаемых муниципальных услуг (выполняемых работ) в стоимостных показателях</t>
  </si>
  <si>
    <t>Определение нормативных затрат на оказание муниципальной услуги</t>
  </si>
  <si>
    <t>001</t>
  </si>
  <si>
    <t>отклонение</t>
  </si>
  <si>
    <t>смета</t>
  </si>
  <si>
    <t>ВР</t>
  </si>
  <si>
    <t>Проверка</t>
  </si>
  <si>
    <t>СРЕДНЕЕ</t>
  </si>
  <si>
    <t>НАЧАЛЬНОЕ</t>
  </si>
  <si>
    <t>СТАРШЕЕ</t>
  </si>
  <si>
    <t>КОРРЕКЦИЯ</t>
  </si>
  <si>
    <t>НОРМАТИВ</t>
  </si>
  <si>
    <t>НАЧАЛ</t>
  </si>
  <si>
    <t>Гл.бухгалтер _____________</t>
  </si>
  <si>
    <t>ОСН</t>
  </si>
  <si>
    <t>ДОВЕД</t>
  </si>
  <si>
    <t>ОДАР</t>
  </si>
  <si>
    <t>КОЛ-ВО ОДАР</t>
  </si>
  <si>
    <t>пов. квалиф.</t>
  </si>
  <si>
    <t>коректировка</t>
  </si>
  <si>
    <t>Нормативные   затраты   на   приобретение   материальных   запасов и услуг, потребляемых в процессе оказания муниципальной услуги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</si>
  <si>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</si>
  <si>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</si>
  <si>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</si>
  <si>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 xml:space="preserve">Реализация адаптированных основных общеобразовательных программ </t>
  </si>
  <si>
    <t>Реализация адаптированных основных общеобразовательных программ начального общего образования</t>
  </si>
  <si>
    <t>ТО видеонаблюдения</t>
  </si>
  <si>
    <t xml:space="preserve"> Наименование муниципальной услуги</t>
  </si>
  <si>
    <t>5.2. Порядок информирования потенциальных потребителей муниципальной услуги:</t>
  </si>
  <si>
    <t>не менее 99%</t>
  </si>
  <si>
    <t>Приказ</t>
  </si>
  <si>
    <t>Управление образования города Пензы</t>
  </si>
  <si>
    <r>
      <rPr>
        <u/>
        <sz val="11"/>
        <rFont val="Times New Roman"/>
        <family val="1"/>
        <charset val="204"/>
      </rPr>
      <t xml:space="preserve">                                    </t>
    </r>
    <r>
      <rPr>
        <sz val="11"/>
        <rFont val="Times New Roman"/>
        <family val="1"/>
        <charset val="204"/>
      </rPr>
      <t>Ю.А.Голодяев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</si>
  <si>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1     .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</si>
  <si>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2     .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</si>
  <si>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3     .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</si>
  <si>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   4     .</t>
    </r>
  </si>
  <si>
    <r>
      <t xml:space="preserve">Раздел </t>
    </r>
    <r>
      <rPr>
        <u/>
        <sz val="11"/>
        <rFont val="Times New Roman"/>
        <family val="1"/>
        <charset val="204"/>
      </rPr>
      <t xml:space="preserve">   1    .</t>
    </r>
  </si>
  <si>
    <t>на официальном сайте учреждения</t>
  </si>
  <si>
    <t>3. Порядок контроля за выполнением муниципального задания</t>
  </si>
  <si>
    <t>Наименование муниципального учреждения:</t>
  </si>
  <si>
    <t>флюорография</t>
  </si>
  <si>
    <t>возмещение коммунальных услуг</t>
  </si>
  <si>
    <t>Транспортный налог</t>
  </si>
  <si>
    <t>Налогооблагаемая база</t>
  </si>
  <si>
    <t>Ставка налога</t>
  </si>
  <si>
    <t>Наименование налога</t>
  </si>
  <si>
    <t>Земельный налог</t>
  </si>
  <si>
    <t>приложение 5</t>
  </si>
  <si>
    <t>Вывоз мусора</t>
  </si>
  <si>
    <t>Тех.обслуживание ТС</t>
  </si>
  <si>
    <t>Дератизация</t>
  </si>
  <si>
    <t xml:space="preserve">Тех.обслуживание средств АПС </t>
  </si>
  <si>
    <t>Замер сопротивления</t>
  </si>
  <si>
    <t>Промывка, опрессовка</t>
  </si>
  <si>
    <t>Поверка весов</t>
  </si>
  <si>
    <t>Очистка кровель</t>
  </si>
  <si>
    <t>Поверка диэлектр. клещей и перчаток</t>
  </si>
  <si>
    <t>Техн. обслуживание теплосчетчиков</t>
  </si>
  <si>
    <t>Услуги по стирке и глажению белья</t>
  </si>
  <si>
    <t>Услуги по очистке кровли</t>
  </si>
  <si>
    <t>Услуги по техническому обслуживанию видеонаблюдения</t>
  </si>
  <si>
    <t>Поверка диэлектр. перчаток и клещей</t>
  </si>
  <si>
    <t>Услуги по поверке весов</t>
  </si>
  <si>
    <t>Медосмотр сотрудников</t>
  </si>
  <si>
    <t>Изготовление бланков аттестатов</t>
  </si>
  <si>
    <t xml:space="preserve">Приобретение услуг связи </t>
  </si>
  <si>
    <t>Холодное водоснабжение</t>
  </si>
  <si>
    <t>Водоотведение</t>
  </si>
  <si>
    <t>Тепловая  энергия</t>
  </si>
  <si>
    <t>Электрическая энергия</t>
  </si>
  <si>
    <t>Возмещение коммунальных услуг</t>
  </si>
  <si>
    <t>3. Нормативные затраты на содержание имущества  (приложение 6)</t>
  </si>
  <si>
    <t>2. Затраты на общехозяйственные нужды.</t>
  </si>
  <si>
    <t>Приобретение услуг связи (абонентская плата)</t>
  </si>
  <si>
    <t>Поминутная оплата</t>
  </si>
  <si>
    <t>Изготовление бланков</t>
  </si>
  <si>
    <t>курсы повышения квалификации пед.работников</t>
  </si>
  <si>
    <t>курсы повышения квалификации пед. работников</t>
  </si>
  <si>
    <t>Экологический сбор</t>
  </si>
  <si>
    <t>Госпошлина</t>
  </si>
  <si>
    <t>ОТЧЕТ</t>
  </si>
  <si>
    <t xml:space="preserve">об использовании субсидии </t>
  </si>
  <si>
    <t>№ п/п</t>
  </si>
  <si>
    <t>Наименование расходов</t>
  </si>
  <si>
    <t>Поступило</t>
  </si>
  <si>
    <t>Израсходовано</t>
  </si>
  <si>
    <t>Остаток на отчетную дату</t>
  </si>
  <si>
    <t>Причина  образования остатка</t>
  </si>
  <si>
    <t>с начала года (нарастающим итогом)</t>
  </si>
  <si>
    <t>в том числе за отчетный период</t>
  </si>
  <si>
    <t>Реализация основных общеобразовательных программ всего, в том числе: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</si>
  <si>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</si>
  <si>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коррекция</t>
  </si>
  <si>
    <t>для коррекции (только 1 класс)</t>
  </si>
  <si>
    <t xml:space="preserve">обычные </t>
  </si>
  <si>
    <t>K нормативных затрат на коммунальные услуги</t>
  </si>
  <si>
    <t xml:space="preserve"> затраты на коммунальные услуги с учетом увеличения</t>
  </si>
  <si>
    <t>K ормативных затрат на содержание имущества</t>
  </si>
  <si>
    <t>Интернет</t>
  </si>
  <si>
    <t>1 раз в год</t>
  </si>
  <si>
    <t>в соответсвии с постановлением Администрации города Пензы №2147 от 14.12.2015 г. "О порядке формирования муниципального задания на оказание муниципальных услуг (выполнение работ) в отношении муниципальных учреждений и финансового обеспечения выполнения муниципального задания", не позднее 1 февраля финансового года, следующего за отчетным</t>
  </si>
  <si>
    <t>2017 год (очередной финансовый год)</t>
  </si>
  <si>
    <t>2018 год (1-й год планового периода)</t>
  </si>
  <si>
    <t>2019 год (2-й год планового периода)</t>
  </si>
  <si>
    <t>Об установлении нормативов на оказание муниципальных услуг (выполнение работ) на 2017 год и плановый период 2018 и 2019 годов в муниципальных учреждениях образования города Пензы, в отношении которых функции и полномочия осуществляет Управление образования города Пензы.</t>
  </si>
  <si>
    <t xml:space="preserve">567010000131001520311787000301000101000101101 </t>
  </si>
  <si>
    <t xml:space="preserve">567010000131001520311787000301000105006101101 </t>
  </si>
  <si>
    <t xml:space="preserve">567010000131001520311788001000100001000101101 </t>
  </si>
  <si>
    <t xml:space="preserve">567010000131001520311788001000100005006101101 </t>
  </si>
  <si>
    <t xml:space="preserve">567010000131001520311794000301000105007101101 </t>
  </si>
  <si>
    <t xml:space="preserve">567010000131001520311034100000000000005101101 </t>
  </si>
  <si>
    <t xml:space="preserve">567010000131001520311791000301000101004101101 </t>
  </si>
  <si>
    <t xml:space="preserve">567010000131001520311791000301000105000101101 </t>
  </si>
  <si>
    <t xml:space="preserve">567010000131001520311794000301000101001101101 </t>
  </si>
  <si>
    <t>на 2017 год и на плановый период 2017 и 2019 годы.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</si>
  <si>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Пензенской области) .</t>
  </si>
  <si>
    <t>Норматив   на   финансовое обеспечение предупредительных мер по сокращению производственного травматизма и профессиональных заболеваний (за счет бюджета г.Пензы) .</t>
  </si>
  <si>
    <t>226(119)</t>
  </si>
  <si>
    <t>340(119)</t>
  </si>
  <si>
    <t>противопож.меропр</t>
  </si>
  <si>
    <t>тех.обсл.узл.рег</t>
  </si>
  <si>
    <t>Приобретение услуг связи (абонентская плата) дек,</t>
  </si>
  <si>
    <t>Интернет декабрь 2016</t>
  </si>
  <si>
    <t>узи молочных желез</t>
  </si>
  <si>
    <t>медосмотр женщины</t>
  </si>
  <si>
    <t>медосмотр мужчины</t>
  </si>
  <si>
    <t>доп.исслед лагерь</t>
  </si>
  <si>
    <t>аттестация раб.мест</t>
  </si>
  <si>
    <t>Договор подряда (мед.сестра бассейна)</t>
  </si>
  <si>
    <t>тревожная кнопка</t>
  </si>
  <si>
    <t>тех.обсл.бассейна</t>
  </si>
  <si>
    <t>тепловая  энергия ГВС</t>
  </si>
  <si>
    <t>медосмотр женщины (лаг)</t>
  </si>
  <si>
    <t xml:space="preserve">Энцефолограмма головного мозга </t>
  </si>
  <si>
    <t>________________</t>
  </si>
  <si>
    <t>__________</t>
  </si>
  <si>
    <t>85.14</t>
  </si>
  <si>
    <t>85.13</t>
  </si>
  <si>
    <t>85.12</t>
  </si>
  <si>
    <t>___________</t>
  </si>
  <si>
    <t>_________________</t>
  </si>
  <si>
    <t>Электронная отчетность</t>
  </si>
  <si>
    <t>МУНИЦИПАЛЬНОЕ ЗАДАНИЕ № 2D348</t>
  </si>
  <si>
    <t>МБОУ  "Кадетская школа № 46 г. Пензы"</t>
  </si>
  <si>
    <t>Директор МБОУ "Кадетская школа № 46 г. Пензы"</t>
  </si>
  <si>
    <t>В.А.Борисов</t>
  </si>
  <si>
    <t>Н.Е.Нелюбова</t>
  </si>
  <si>
    <t xml:space="preserve">Гл.бухгалтер  </t>
  </si>
  <si>
    <t>Директор МБОУ "Кадетская школа № 46 г. Пензы"________________В.А.Борисов</t>
  </si>
  <si>
    <t xml:space="preserve">Ремонт пола </t>
  </si>
  <si>
    <t>ИТС 1С</t>
  </si>
  <si>
    <t>обучение пож.техминимум</t>
  </si>
  <si>
    <t>Бюджетные назначения на 2017 год</t>
  </si>
  <si>
    <t>за   2017 год</t>
  </si>
  <si>
    <r>
      <rPr>
        <u/>
        <sz val="11"/>
        <rFont val="Times New Roman"/>
        <family val="1"/>
        <charset val="204"/>
      </rPr>
      <t xml:space="preserve">"14    </t>
    </r>
    <r>
      <rPr>
        <sz val="11"/>
        <rFont val="Times New Roman"/>
        <family val="1"/>
        <charset val="204"/>
      </rPr>
      <t xml:space="preserve">" </t>
    </r>
    <r>
      <rPr>
        <u/>
        <sz val="11"/>
        <rFont val="Times New Roman"/>
        <family val="1"/>
        <charset val="204"/>
      </rPr>
      <t xml:space="preserve"> декабря     2017 </t>
    </r>
    <r>
      <rPr>
        <sz val="1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</si>
</sst>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0000000"/>
  </numFmts>
  <fonts count="4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Arial Cyr"/>
      <charset val="204"/>
    </font>
    <font>
      <u/>
      <sz val="12"/>
      <name val="Verdana"/>
      <family val="2"/>
      <charset val="204"/>
    </font>
    <font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 Cyr"/>
      <charset val="204"/>
    </font>
    <font>
      <u/>
      <sz val="14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6"/>
      <name val="Times New Roman"/>
      <family val="1"/>
      <charset val="204"/>
    </font>
    <font>
      <u/>
      <sz val="11"/>
      <name val="Times New Roman"/>
      <family val="1"/>
      <charset val="204"/>
    </font>
    <font>
      <sz val="5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35" fillId="0" borderId="0" applyFont="0" applyFill="0" applyBorder="0" applyAlignment="0" applyProtection="0"/>
  </cellStyleXfs>
  <cellXfs count="549">
    <xf numFmtId="0" fontId="0" fillId="0" borderId="0" xfId="0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Fill="1"/>
    <xf numFmtId="0" fontId="1" fillId="0" borderId="0" xfId="1" applyFont="1" applyProtection="1">
      <protection locked="0"/>
    </xf>
    <xf numFmtId="0" fontId="1" fillId="0" borderId="0" xfId="1" applyFont="1" applyAlignment="1"/>
    <xf numFmtId="0" fontId="1" fillId="0" borderId="0" xfId="1" applyFont="1" applyAlignment="1" applyProtection="1">
      <protection locked="0"/>
    </xf>
    <xf numFmtId="4" fontId="1" fillId="0" borderId="2" xfId="1" applyNumberFormat="1" applyFont="1" applyBorder="1" applyAlignment="1">
      <alignment wrapText="1"/>
    </xf>
    <xf numFmtId="4" fontId="1" fillId="0" borderId="3" xfId="1" applyNumberFormat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5" xfId="1" applyFont="1" applyBorder="1" applyAlignment="1">
      <alignment wrapText="1"/>
    </xf>
    <xf numFmtId="4" fontId="1" fillId="0" borderId="6" xfId="1" applyNumberFormat="1" applyFont="1" applyBorder="1" applyAlignment="1">
      <alignment wrapText="1"/>
    </xf>
    <xf numFmtId="4" fontId="1" fillId="0" borderId="1" xfId="1" applyNumberFormat="1" applyFont="1" applyBorder="1" applyAlignment="1">
      <alignment wrapText="1"/>
    </xf>
    <xf numFmtId="0" fontId="1" fillId="0" borderId="7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10" fillId="0" borderId="0" xfId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1" applyFont="1" applyBorder="1"/>
    <xf numFmtId="2" fontId="1" fillId="0" borderId="1" xfId="1" applyNumberFormat="1" applyFont="1" applyBorder="1" applyAlignment="1">
      <alignment wrapText="1"/>
    </xf>
    <xf numFmtId="0" fontId="1" fillId="0" borderId="5" xfId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0" xfId="1" applyNumberFormat="1" applyFont="1" applyAlignment="1">
      <alignment wrapText="1"/>
    </xf>
    <xf numFmtId="0" fontId="1" fillId="0" borderId="8" xfId="1" applyFont="1" applyBorder="1"/>
    <xf numFmtId="0" fontId="1" fillId="2" borderId="1" xfId="0" applyFont="1" applyFill="1" applyBorder="1"/>
    <xf numFmtId="2" fontId="1" fillId="0" borderId="0" xfId="1" applyNumberFormat="1" applyFont="1"/>
    <xf numFmtId="164" fontId="1" fillId="0" borderId="1" xfId="0" applyNumberFormat="1" applyFont="1" applyBorder="1"/>
    <xf numFmtId="164" fontId="1" fillId="0" borderId="1" xfId="1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4" fontId="1" fillId="0" borderId="0" xfId="1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3" fillId="0" borderId="0" xfId="1" applyFont="1"/>
    <xf numFmtId="0" fontId="13" fillId="0" borderId="0" xfId="1" applyFont="1" applyAlignment="1">
      <alignment wrapText="1"/>
    </xf>
    <xf numFmtId="0" fontId="2" fillId="0" borderId="0" xfId="1" applyFont="1" applyFill="1"/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5" xfId="1" applyFont="1" applyBorder="1"/>
    <xf numFmtId="0" fontId="2" fillId="0" borderId="5" xfId="1" applyFont="1" applyBorder="1" applyAlignment="1">
      <alignment wrapText="1"/>
    </xf>
    <xf numFmtId="0" fontId="2" fillId="0" borderId="9" xfId="1" applyFont="1" applyBorder="1"/>
    <xf numFmtId="0" fontId="2" fillId="0" borderId="10" xfId="1" applyFont="1" applyBorder="1" applyAlignment="1">
      <alignment wrapText="1"/>
    </xf>
    <xf numFmtId="0" fontId="2" fillId="0" borderId="0" xfId="1" applyFont="1" applyAlignment="1">
      <alignment wrapText="1"/>
    </xf>
    <xf numFmtId="0" fontId="2" fillId="0" borderId="4" xfId="1" applyFont="1" applyBorder="1" applyAlignment="1">
      <alignment wrapText="1"/>
    </xf>
    <xf numFmtId="2" fontId="2" fillId="0" borderId="6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8" fillId="0" borderId="0" xfId="1"/>
    <xf numFmtId="0" fontId="8" fillId="0" borderId="0" xfId="1" applyFont="1"/>
    <xf numFmtId="0" fontId="8" fillId="0" borderId="0" xfId="1" applyFont="1" applyFill="1"/>
    <xf numFmtId="0" fontId="8" fillId="0" borderId="0" xfId="1" applyProtection="1">
      <protection locked="0"/>
    </xf>
    <xf numFmtId="0" fontId="8" fillId="0" borderId="0" xfId="1" applyFont="1" applyAlignment="1"/>
    <xf numFmtId="0" fontId="8" fillId="0" borderId="2" xfId="1" applyBorder="1"/>
    <xf numFmtId="0" fontId="8" fillId="0" borderId="3" xfId="1" applyBorder="1"/>
    <xf numFmtId="0" fontId="8" fillId="0" borderId="6" xfId="1" applyBorder="1"/>
    <xf numFmtId="0" fontId="8" fillId="0" borderId="1" xfId="1" applyBorder="1"/>
    <xf numFmtId="0" fontId="8" fillId="0" borderId="7" xfId="1" applyBorder="1" applyAlignment="1">
      <alignment wrapText="1"/>
    </xf>
    <xf numFmtId="0" fontId="1" fillId="3" borderId="5" xfId="1" applyFont="1" applyFill="1" applyBorder="1" applyAlignment="1">
      <alignment vertical="top" wrapText="1"/>
    </xf>
    <xf numFmtId="0" fontId="15" fillId="0" borderId="0" xfId="1" applyFont="1" applyAlignment="1">
      <alignment wrapText="1"/>
    </xf>
    <xf numFmtId="0" fontId="8" fillId="0" borderId="0" xfId="1" applyAlignment="1">
      <alignment wrapText="1"/>
    </xf>
    <xf numFmtId="0" fontId="8" fillId="0" borderId="4" xfId="1" applyBorder="1" applyAlignment="1">
      <alignment wrapText="1"/>
    </xf>
    <xf numFmtId="0" fontId="8" fillId="0" borderId="5" xfId="1" applyBorder="1" applyAlignment="1">
      <alignment wrapText="1"/>
    </xf>
    <xf numFmtId="0" fontId="8" fillId="0" borderId="0" xfId="1" applyBorder="1" applyAlignment="1">
      <alignment horizontal="center"/>
    </xf>
    <xf numFmtId="0" fontId="8" fillId="0" borderId="0" xfId="1" applyBorder="1"/>
    <xf numFmtId="4" fontId="8" fillId="0" borderId="0" xfId="1" applyNumberFormat="1"/>
    <xf numFmtId="0" fontId="8" fillId="0" borderId="3" xfId="1" applyBorder="1" applyAlignment="1">
      <alignment horizontal="center"/>
    </xf>
    <xf numFmtId="0" fontId="8" fillId="0" borderId="5" xfId="1" applyBorder="1"/>
    <xf numFmtId="0" fontId="8" fillId="0" borderId="0" xfId="1" applyFont="1" applyAlignment="1">
      <alignment wrapText="1"/>
    </xf>
    <xf numFmtId="4" fontId="8" fillId="0" borderId="0" xfId="1" applyNumberFormat="1" applyFont="1"/>
    <xf numFmtId="4" fontId="8" fillId="0" borderId="0" xfId="1" applyNumberFormat="1" applyFont="1" applyAlignment="1">
      <alignment horizontal="center"/>
    </xf>
    <xf numFmtId="0" fontId="8" fillId="4" borderId="0" xfId="1" applyFont="1" applyFill="1"/>
    <xf numFmtId="4" fontId="1" fillId="5" borderId="2" xfId="1" applyNumberFormat="1" applyFont="1" applyFill="1" applyBorder="1" applyAlignment="1">
      <alignment horizontal="center" vertical="top" wrapText="1"/>
    </xf>
    <xf numFmtId="0" fontId="1" fillId="5" borderId="3" xfId="1" applyFont="1" applyFill="1" applyBorder="1" applyAlignment="1">
      <alignment horizontal="center" vertical="top" wrapText="1"/>
    </xf>
    <xf numFmtId="2" fontId="4" fillId="5" borderId="3" xfId="1" applyNumberFormat="1" applyFont="1" applyFill="1" applyBorder="1" applyAlignment="1">
      <alignment horizontal="center" vertical="top" wrapText="1"/>
    </xf>
    <xf numFmtId="10" fontId="1" fillId="5" borderId="3" xfId="1" applyNumberFormat="1" applyFont="1" applyFill="1" applyBorder="1" applyAlignment="1">
      <alignment horizontal="center" vertical="top" wrapText="1"/>
    </xf>
    <xf numFmtId="0" fontId="1" fillId="5" borderId="4" xfId="1" applyFont="1" applyFill="1" applyBorder="1" applyAlignment="1">
      <alignment vertical="top" wrapText="1"/>
    </xf>
    <xf numFmtId="4" fontId="1" fillId="0" borderId="6" xfId="1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 wrapText="1"/>
    </xf>
    <xf numFmtId="10" fontId="1" fillId="0" borderId="1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vertical="top" wrapText="1"/>
    </xf>
    <xf numFmtId="4" fontId="1" fillId="0" borderId="11" xfId="1" applyNumberFormat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" vertical="top" wrapText="1"/>
    </xf>
    <xf numFmtId="2" fontId="1" fillId="0" borderId="12" xfId="1" applyNumberFormat="1" applyFont="1" applyBorder="1" applyAlignment="1">
      <alignment horizontal="center" vertical="top" wrapText="1"/>
    </xf>
    <xf numFmtId="10" fontId="1" fillId="0" borderId="12" xfId="1" applyNumberFormat="1" applyFont="1" applyBorder="1" applyAlignment="1">
      <alignment horizontal="center" vertical="top" wrapText="1"/>
    </xf>
    <xf numFmtId="0" fontId="1" fillId="0" borderId="7" xfId="1" applyFont="1" applyBorder="1" applyAlignment="1">
      <alignment vertical="top" wrapText="1"/>
    </xf>
    <xf numFmtId="0" fontId="8" fillId="6" borderId="0" xfId="1" applyFont="1" applyFill="1"/>
    <xf numFmtId="4" fontId="1" fillId="6" borderId="13" xfId="1" applyNumberFormat="1" applyFont="1" applyFill="1" applyBorder="1" applyAlignment="1">
      <alignment horizontal="center" vertical="top" wrapText="1"/>
    </xf>
    <xf numFmtId="0" fontId="1" fillId="6" borderId="14" xfId="1" applyFont="1" applyFill="1" applyBorder="1" applyAlignment="1">
      <alignment vertical="top" wrapText="1"/>
    </xf>
    <xf numFmtId="4" fontId="1" fillId="6" borderId="14" xfId="1" applyNumberFormat="1" applyFont="1" applyFill="1" applyBorder="1" applyAlignment="1">
      <alignment horizontal="center" vertical="top" wrapText="1"/>
    </xf>
    <xf numFmtId="0" fontId="1" fillId="6" borderId="15" xfId="1" applyFont="1" applyFill="1" applyBorder="1" applyAlignment="1">
      <alignment vertical="top" wrapText="1"/>
    </xf>
    <xf numFmtId="0" fontId="8" fillId="3" borderId="0" xfId="1" applyFont="1" applyFill="1"/>
    <xf numFmtId="4" fontId="1" fillId="4" borderId="2" xfId="1" applyNumberFormat="1" applyFont="1" applyFill="1" applyBorder="1" applyAlignment="1">
      <alignment horizontal="center" vertical="top" wrapText="1"/>
    </xf>
    <xf numFmtId="0" fontId="1" fillId="4" borderId="3" xfId="1" applyFont="1" applyFill="1" applyBorder="1" applyAlignment="1">
      <alignment vertical="top" wrapText="1"/>
    </xf>
    <xf numFmtId="0" fontId="1" fillId="4" borderId="3" xfId="1" applyFont="1" applyFill="1" applyBorder="1" applyAlignment="1">
      <alignment horizontal="center" vertical="top" wrapText="1"/>
    </xf>
    <xf numFmtId="0" fontId="1" fillId="4" borderId="4" xfId="1" applyFont="1" applyFill="1" applyBorder="1" applyAlignment="1">
      <alignment vertical="top" wrapText="1"/>
    </xf>
    <xf numFmtId="0" fontId="8" fillId="2" borderId="0" xfId="1" applyFont="1" applyFill="1"/>
    <xf numFmtId="4" fontId="1" fillId="2" borderId="16" xfId="1" applyNumberFormat="1" applyFont="1" applyFill="1" applyBorder="1" applyAlignment="1">
      <alignment horizontal="center" vertical="top" wrapText="1"/>
    </xf>
    <xf numFmtId="0" fontId="1" fillId="2" borderId="16" xfId="1" applyFont="1" applyFill="1" applyBorder="1" applyAlignment="1">
      <alignment vertical="top" wrapText="1"/>
    </xf>
    <xf numFmtId="4" fontId="1" fillId="3" borderId="2" xfId="1" applyNumberFormat="1" applyFont="1" applyFill="1" applyBorder="1" applyAlignment="1">
      <alignment horizontal="center" vertical="top" wrapText="1"/>
    </xf>
    <xf numFmtId="0" fontId="1" fillId="3" borderId="3" xfId="1" applyFont="1" applyFill="1" applyBorder="1" applyAlignment="1">
      <alignment vertical="top" wrapText="1"/>
    </xf>
    <xf numFmtId="0" fontId="1" fillId="0" borderId="17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3" borderId="4" xfId="1" applyFont="1" applyFill="1" applyBorder="1" applyAlignment="1">
      <alignment vertical="top" wrapText="1"/>
    </xf>
    <xf numFmtId="4" fontId="1" fillId="3" borderId="11" xfId="1" applyNumberFormat="1" applyFont="1" applyFill="1" applyBorder="1" applyAlignment="1">
      <alignment horizontal="center" vertical="top" wrapText="1"/>
    </xf>
    <xf numFmtId="0" fontId="1" fillId="3" borderId="12" xfId="1" applyFont="1" applyFill="1" applyBorder="1" applyAlignment="1">
      <alignment vertical="top" wrapText="1"/>
    </xf>
    <xf numFmtId="0" fontId="1" fillId="3" borderId="7" xfId="1" applyFont="1" applyFill="1" applyBorder="1" applyAlignment="1">
      <alignment vertical="top" wrapText="1"/>
    </xf>
    <xf numFmtId="4" fontId="1" fillId="2" borderId="2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vertical="top" wrapText="1"/>
    </xf>
    <xf numFmtId="0" fontId="1" fillId="2" borderId="4" xfId="1" applyFont="1" applyFill="1" applyBorder="1" applyAlignment="1">
      <alignment vertical="top" wrapText="1"/>
    </xf>
    <xf numFmtId="4" fontId="1" fillId="3" borderId="6" xfId="1" applyNumberFormat="1" applyFont="1" applyFill="1" applyBorder="1" applyAlignment="1">
      <alignment horizontal="center" vertical="top" wrapText="1"/>
    </xf>
    <xf numFmtId="0" fontId="1" fillId="3" borderId="1" xfId="1" applyFont="1" applyFill="1" applyBorder="1" applyAlignment="1">
      <alignment vertical="top" wrapText="1"/>
    </xf>
    <xf numFmtId="0" fontId="1" fillId="3" borderId="1" xfId="1" applyFont="1" applyFill="1" applyBorder="1" applyAlignment="1">
      <alignment horizontal="center" vertical="top" wrapText="1"/>
    </xf>
    <xf numFmtId="0" fontId="1" fillId="0" borderId="16" xfId="1" applyFont="1" applyBorder="1" applyAlignment="1">
      <alignment horizontal="center" vertical="top" wrapText="1"/>
    </xf>
    <xf numFmtId="0" fontId="1" fillId="3" borderId="12" xfId="1" applyFont="1" applyFill="1" applyBorder="1" applyAlignment="1">
      <alignment horizontal="center" vertical="top" wrapText="1"/>
    </xf>
    <xf numFmtId="0" fontId="8" fillId="7" borderId="0" xfId="1" applyFont="1" applyFill="1"/>
    <xf numFmtId="0" fontId="1" fillId="7" borderId="2" xfId="1" applyFont="1" applyFill="1" applyBorder="1" applyAlignment="1">
      <alignment horizontal="center" vertical="top" wrapText="1"/>
    </xf>
    <xf numFmtId="0" fontId="1" fillId="7" borderId="3" xfId="1" applyFont="1" applyFill="1" applyBorder="1" applyAlignment="1">
      <alignment vertical="top" wrapText="1"/>
    </xf>
    <xf numFmtId="0" fontId="1" fillId="7" borderId="4" xfId="1" applyFont="1" applyFill="1" applyBorder="1" applyAlignment="1">
      <alignment vertical="top" wrapText="1"/>
    </xf>
    <xf numFmtId="0" fontId="1" fillId="0" borderId="18" xfId="1" applyFont="1" applyBorder="1" applyAlignment="1">
      <alignment horizontal="center" vertical="top" wrapText="1"/>
    </xf>
    <xf numFmtId="0" fontId="1" fillId="0" borderId="9" xfId="1" applyFont="1" applyBorder="1" applyAlignment="1">
      <alignment vertical="top" wrapText="1"/>
    </xf>
    <xf numFmtId="0" fontId="1" fillId="0" borderId="10" xfId="1" applyFont="1" applyBorder="1" applyAlignment="1">
      <alignment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1" xfId="1" applyFont="1" applyBorder="1" applyAlignment="1">
      <alignment vertical="top" wrapText="1"/>
    </xf>
    <xf numFmtId="0" fontId="1" fillId="0" borderId="11" xfId="1" applyFont="1" applyBorder="1" applyAlignment="1">
      <alignment horizontal="center" vertical="top" wrapText="1"/>
    </xf>
    <xf numFmtId="0" fontId="1" fillId="0" borderId="12" xfId="1" applyFont="1" applyBorder="1" applyAlignment="1">
      <alignment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0" borderId="9" xfId="1" applyFont="1" applyBorder="1" applyAlignment="1">
      <alignment horizontal="center" vertical="top" wrapText="1"/>
    </xf>
    <xf numFmtId="0" fontId="4" fillId="2" borderId="4" xfId="1" applyFont="1" applyFill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4" fontId="1" fillId="2" borderId="3" xfId="1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wrapText="1"/>
    </xf>
    <xf numFmtId="0" fontId="4" fillId="0" borderId="5" xfId="1" applyFont="1" applyBorder="1" applyAlignment="1">
      <alignment wrapText="1"/>
    </xf>
    <xf numFmtId="4" fontId="1" fillId="0" borderId="19" xfId="1" applyNumberFormat="1" applyFont="1" applyBorder="1" applyAlignment="1">
      <alignment horizontal="center" vertical="top" wrapText="1"/>
    </xf>
    <xf numFmtId="0" fontId="1" fillId="0" borderId="20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wrapText="1"/>
    </xf>
    <xf numFmtId="0" fontId="13" fillId="8" borderId="1" xfId="1" applyFont="1" applyFill="1" applyBorder="1" applyAlignment="1" applyProtection="1">
      <alignment horizontal="center" wrapText="1"/>
      <protection locked="0"/>
    </xf>
    <xf numFmtId="0" fontId="1" fillId="0" borderId="1" xfId="1" applyFont="1" applyBorder="1" applyAlignment="1">
      <alignment horizontal="center" wrapText="1"/>
    </xf>
    <xf numFmtId="0" fontId="19" fillId="0" borderId="0" xfId="1" applyFont="1" applyAlignment="1">
      <alignment vertical="center" wrapText="1"/>
    </xf>
    <xf numFmtId="4" fontId="8" fillId="0" borderId="1" xfId="1" applyNumberFormat="1" applyBorder="1"/>
    <xf numFmtId="4" fontId="8" fillId="8" borderId="1" xfId="1" applyNumberFormat="1" applyFill="1" applyBorder="1" applyProtection="1">
      <protection locked="0"/>
    </xf>
    <xf numFmtId="0" fontId="21" fillId="0" borderId="0" xfId="1" applyFont="1"/>
    <xf numFmtId="0" fontId="21" fillId="0" borderId="0" xfId="1" applyFont="1" applyProtection="1">
      <protection locked="0"/>
    </xf>
    <xf numFmtId="4" fontId="21" fillId="0" borderId="0" xfId="1" applyNumberFormat="1" applyFont="1" applyProtection="1">
      <protection locked="0"/>
    </xf>
    <xf numFmtId="4" fontId="8" fillId="0" borderId="1" xfId="1" applyNumberFormat="1" applyFont="1" applyBorder="1"/>
    <xf numFmtId="4" fontId="8" fillId="8" borderId="1" xfId="1" applyNumberFormat="1" applyFont="1" applyFill="1" applyBorder="1" applyProtection="1">
      <protection locked="0"/>
    </xf>
    <xf numFmtId="49" fontId="21" fillId="0" borderId="1" xfId="1" applyNumberFormat="1" applyFont="1" applyBorder="1" applyAlignment="1">
      <alignment horizontal="right"/>
    </xf>
    <xf numFmtId="0" fontId="21" fillId="0" borderId="1" xfId="1" applyFont="1" applyBorder="1"/>
    <xf numFmtId="4" fontId="21" fillId="0" borderId="1" xfId="1" applyNumberFormat="1" applyFont="1" applyBorder="1"/>
    <xf numFmtId="4" fontId="8" fillId="0" borderId="0" xfId="1" applyNumberFormat="1" applyFont="1" applyFill="1"/>
    <xf numFmtId="0" fontId="8" fillId="0" borderId="1" xfId="1" applyFont="1" applyFill="1" applyBorder="1"/>
    <xf numFmtId="4" fontId="8" fillId="9" borderId="1" xfId="1" applyNumberFormat="1" applyFont="1" applyFill="1" applyBorder="1" applyProtection="1">
      <protection locked="0"/>
    </xf>
    <xf numFmtId="4" fontId="21" fillId="0" borderId="0" xfId="1" applyNumberFormat="1" applyFont="1"/>
    <xf numFmtId="0" fontId="8" fillId="8" borderId="1" xfId="1" applyFont="1" applyFill="1" applyBorder="1"/>
    <xf numFmtId="4" fontId="8" fillId="0" borderId="1" xfId="1" applyNumberFormat="1" applyFont="1" applyFill="1" applyBorder="1" applyProtection="1">
      <protection locked="0"/>
    </xf>
    <xf numFmtId="0" fontId="8" fillId="0" borderId="0" xfId="1" applyFont="1" applyFill="1" applyAlignment="1">
      <alignment horizontal="center"/>
    </xf>
    <xf numFmtId="0" fontId="1" fillId="0" borderId="3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/>
    </xf>
    <xf numFmtId="4" fontId="1" fillId="0" borderId="12" xfId="1" applyNumberFormat="1" applyFont="1" applyBorder="1" applyAlignment="1">
      <alignment horizontal="center" vertical="top" wrapText="1"/>
    </xf>
    <xf numFmtId="4" fontId="1" fillId="0" borderId="16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/>
    </xf>
    <xf numFmtId="0" fontId="23" fillId="0" borderId="15" xfId="1" applyFont="1" applyFill="1" applyBorder="1" applyAlignment="1">
      <alignment vertical="top" wrapText="1"/>
    </xf>
    <xf numFmtId="0" fontId="24" fillId="0" borderId="14" xfId="1" applyFont="1" applyBorder="1"/>
    <xf numFmtId="0" fontId="1" fillId="0" borderId="21" xfId="0" applyFont="1" applyBorder="1"/>
    <xf numFmtId="0" fontId="1" fillId="0" borderId="0" xfId="0" applyFont="1"/>
    <xf numFmtId="0" fontId="5" fillId="0" borderId="22" xfId="0" applyFont="1" applyBorder="1" applyAlignment="1">
      <alignment horizontal="center" vertical="center" wrapText="1"/>
    </xf>
    <xf numFmtId="0" fontId="4" fillId="0" borderId="0" xfId="0" applyFont="1"/>
    <xf numFmtId="0" fontId="37" fillId="0" borderId="1" xfId="0" applyFont="1" applyBorder="1"/>
    <xf numFmtId="0" fontId="5" fillId="0" borderId="1" xfId="0" applyFont="1" applyFill="1" applyBorder="1"/>
    <xf numFmtId="0" fontId="4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3" xfId="0" applyFont="1" applyBorder="1" applyAlignment="1"/>
    <xf numFmtId="0" fontId="4" fillId="0" borderId="24" xfId="0" applyFont="1" applyBorder="1" applyAlignment="1"/>
    <xf numFmtId="0" fontId="3" fillId="0" borderId="23" xfId="0" applyFont="1" applyBorder="1" applyAlignment="1"/>
    <xf numFmtId="0" fontId="3" fillId="0" borderId="24" xfId="0" applyFont="1" applyBorder="1" applyAlignment="1"/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/>
    <xf numFmtId="0" fontId="27" fillId="0" borderId="0" xfId="0" applyFont="1"/>
    <xf numFmtId="0" fontId="27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7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2" fontId="2" fillId="8" borderId="6" xfId="1" applyNumberFormat="1" applyFont="1" applyFill="1" applyBorder="1"/>
    <xf numFmtId="0" fontId="2" fillId="0" borderId="5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8" fillId="0" borderId="25" xfId="1" applyFont="1" applyBorder="1" applyAlignment="1"/>
    <xf numFmtId="0" fontId="8" fillId="0" borderId="25" xfId="1" applyFont="1" applyBorder="1"/>
    <xf numFmtId="0" fontId="8" fillId="0" borderId="7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43" fontId="21" fillId="0" borderId="0" xfId="2" applyFont="1"/>
    <xf numFmtId="0" fontId="8" fillId="0" borderId="7" xfId="1" applyBorder="1" applyAlignment="1">
      <alignment horizontal="center" vertical="center" wrapText="1"/>
    </xf>
    <xf numFmtId="0" fontId="8" fillId="0" borderId="12" xfId="1" applyBorder="1" applyAlignment="1">
      <alignment horizontal="center" vertical="center" wrapText="1"/>
    </xf>
    <xf numFmtId="0" fontId="8" fillId="0" borderId="11" xfId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2" fontId="8" fillId="0" borderId="1" xfId="1" applyNumberFormat="1" applyBorder="1"/>
    <xf numFmtId="0" fontId="1" fillId="0" borderId="7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1" applyFont="1" applyFill="1" applyBorder="1"/>
    <xf numFmtId="2" fontId="2" fillId="0" borderId="6" xfId="1" applyNumberFormat="1" applyFont="1" applyFill="1" applyBorder="1"/>
    <xf numFmtId="0" fontId="2" fillId="0" borderId="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8" xfId="1" applyFont="1" applyBorder="1" applyAlignment="1">
      <alignment wrapText="1"/>
    </xf>
    <xf numFmtId="0" fontId="8" fillId="0" borderId="0" xfId="1" applyFont="1" applyBorder="1"/>
    <xf numFmtId="4" fontId="12" fillId="0" borderId="14" xfId="1" applyNumberFormat="1" applyFont="1" applyBorder="1" applyAlignment="1">
      <alignment horizontal="center"/>
    </xf>
    <xf numFmtId="0" fontId="12" fillId="0" borderId="14" xfId="1" applyFont="1" applyBorder="1"/>
    <xf numFmtId="4" fontId="12" fillId="0" borderId="13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vertical="top"/>
    </xf>
    <xf numFmtId="4" fontId="1" fillId="0" borderId="6" xfId="1" applyNumberFormat="1" applyFont="1" applyBorder="1" applyAlignment="1">
      <alignment horizontal="center" vertical="top"/>
    </xf>
    <xf numFmtId="4" fontId="1" fillId="0" borderId="0" xfId="0" applyNumberFormat="1" applyFont="1" applyBorder="1"/>
    <xf numFmtId="0" fontId="2" fillId="0" borderId="8" xfId="1" applyFont="1" applyBorder="1" applyAlignment="1">
      <alignment wrapText="1"/>
    </xf>
    <xf numFmtId="0" fontId="2" fillId="0" borderId="16" xfId="1" applyFont="1" applyBorder="1"/>
    <xf numFmtId="0" fontId="2" fillId="0" borderId="19" xfId="1" applyFont="1" applyFill="1" applyBorder="1"/>
    <xf numFmtId="0" fontId="2" fillId="0" borderId="2" xfId="1" applyFont="1" applyFill="1" applyBorder="1"/>
    <xf numFmtId="0" fontId="2" fillId="0" borderId="26" xfId="1" applyFont="1" applyBorder="1" applyAlignment="1">
      <alignment wrapText="1"/>
    </xf>
    <xf numFmtId="0" fontId="2" fillId="0" borderId="17" xfId="1" applyFont="1" applyBorder="1"/>
    <xf numFmtId="0" fontId="2" fillId="0" borderId="27" xfId="1" applyFont="1" applyBorder="1"/>
    <xf numFmtId="2" fontId="2" fillId="0" borderId="2" xfId="1" applyNumberFormat="1" applyFont="1" applyBorder="1"/>
    <xf numFmtId="0" fontId="8" fillId="0" borderId="4" xfId="1" applyBorder="1"/>
    <xf numFmtId="0" fontId="8" fillId="0" borderId="10" xfId="1" applyBorder="1"/>
    <xf numFmtId="0" fontId="0" fillId="0" borderId="0" xfId="0" applyAlignment="1">
      <alignment wrapText="1"/>
    </xf>
    <xf numFmtId="0" fontId="31" fillId="0" borderId="1" xfId="0" applyFont="1" applyBorder="1" applyAlignment="1">
      <alignment wrapText="1"/>
    </xf>
    <xf numFmtId="0" fontId="31" fillId="10" borderId="1" xfId="0" applyFont="1" applyFill="1" applyBorder="1" applyAlignment="1">
      <alignment horizontal="center"/>
    </xf>
    <xf numFmtId="0" fontId="31" fillId="10" borderId="1" xfId="0" applyFont="1" applyFill="1" applyBorder="1" applyAlignment="1">
      <alignment wrapText="1"/>
    </xf>
    <xf numFmtId="4" fontId="31" fillId="10" borderId="1" xfId="0" applyNumberFormat="1" applyFont="1" applyFill="1" applyBorder="1" applyAlignment="1">
      <alignment horizontal="center"/>
    </xf>
    <xf numFmtId="4" fontId="32" fillId="10" borderId="1" xfId="0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/>
    </xf>
    <xf numFmtId="4" fontId="31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31" fillId="0" borderId="0" xfId="0" applyFont="1"/>
    <xf numFmtId="0" fontId="1" fillId="2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8" fillId="0" borderId="28" xfId="1" applyFont="1" applyFill="1" applyBorder="1" applyAlignment="1"/>
    <xf numFmtId="4" fontId="33" fillId="0" borderId="0" xfId="1" applyNumberFormat="1" applyFont="1" applyFill="1"/>
    <xf numFmtId="0" fontId="33" fillId="0" borderId="0" xfId="1" applyFont="1" applyFill="1"/>
    <xf numFmtId="0" fontId="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34" fillId="0" borderId="6" xfId="1" applyFont="1" applyFill="1" applyBorder="1"/>
    <xf numFmtId="0" fontId="17" fillId="0" borderId="0" xfId="1" applyFont="1" applyAlignment="1">
      <alignment horizontal="center" wrapText="1"/>
    </xf>
    <xf numFmtId="4" fontId="1" fillId="0" borderId="6" xfId="1" applyNumberFormat="1" applyFont="1" applyBorder="1" applyAlignment="1">
      <alignment horizontal="center"/>
    </xf>
    <xf numFmtId="4" fontId="1" fillId="0" borderId="0" xfId="1" applyNumberFormat="1" applyFont="1" applyBorder="1" applyAlignment="1">
      <alignment horizontal="center"/>
    </xf>
    <xf numFmtId="4" fontId="1" fillId="0" borderId="0" xfId="1" applyNumberFormat="1" applyFont="1"/>
    <xf numFmtId="0" fontId="1" fillId="0" borderId="1" xfId="1" applyFont="1" applyBorder="1" applyAlignment="1">
      <alignment horizontal="center"/>
    </xf>
    <xf numFmtId="43" fontId="15" fillId="0" borderId="1" xfId="2" applyFont="1" applyBorder="1" applyAlignment="1" applyProtection="1">
      <alignment horizontal="center" vertical="center"/>
      <protection locked="0"/>
    </xf>
    <xf numFmtId="10" fontId="15" fillId="0" borderId="1" xfId="1" applyNumberFormat="1" applyFont="1" applyBorder="1"/>
    <xf numFmtId="43" fontId="15" fillId="0" borderId="6" xfId="2" applyFont="1" applyBorder="1"/>
    <xf numFmtId="43" fontId="15" fillId="0" borderId="9" xfId="2" applyFont="1" applyBorder="1" applyAlignment="1" applyProtection="1">
      <alignment horizontal="center" vertical="center"/>
      <protection locked="0"/>
    </xf>
    <xf numFmtId="10" fontId="15" fillId="0" borderId="9" xfId="1" applyNumberFormat="1" applyFont="1" applyBorder="1"/>
    <xf numFmtId="43" fontId="15" fillId="0" borderId="3" xfId="2" applyFont="1" applyBorder="1" applyAlignment="1" applyProtection="1">
      <alignment horizontal="center" vertical="center"/>
      <protection locked="0"/>
    </xf>
    <xf numFmtId="2" fontId="15" fillId="0" borderId="3" xfId="1" applyNumberFormat="1" applyFont="1" applyBorder="1" applyAlignment="1">
      <alignment horizontal="right"/>
    </xf>
    <xf numFmtId="43" fontId="15" fillId="0" borderId="2" xfId="2" applyFont="1" applyBorder="1"/>
    <xf numFmtId="0" fontId="3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1" fillId="0" borderId="25" xfId="0" applyFont="1" applyBorder="1" applyAlignment="1">
      <alignment horizontal="center" vertical="top"/>
    </xf>
    <xf numFmtId="4" fontId="1" fillId="0" borderId="1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4" fontId="1" fillId="0" borderId="3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0" fontId="1" fillId="0" borderId="26" xfId="1" applyFont="1" applyBorder="1" applyAlignment="1">
      <alignment wrapText="1"/>
    </xf>
    <xf numFmtId="0" fontId="1" fillId="0" borderId="29" xfId="1" applyFont="1" applyBorder="1" applyAlignment="1">
      <alignment horizontal="center" wrapText="1"/>
    </xf>
    <xf numFmtId="0" fontId="8" fillId="0" borderId="17" xfId="1" applyBorder="1" applyAlignment="1">
      <alignment horizontal="center"/>
    </xf>
    <xf numFmtId="4" fontId="8" fillId="0" borderId="19" xfId="1" applyNumberFormat="1" applyBorder="1" applyAlignment="1">
      <alignment horizontal="center"/>
    </xf>
    <xf numFmtId="0" fontId="15" fillId="0" borderId="12" xfId="1" applyFont="1" applyBorder="1" applyAlignment="1">
      <alignment horizontal="center" vertical="center" wrapText="1"/>
    </xf>
    <xf numFmtId="0" fontId="8" fillId="11" borderId="3" xfId="1" applyFill="1" applyBorder="1" applyAlignment="1">
      <alignment horizontal="center"/>
    </xf>
    <xf numFmtId="4" fontId="8" fillId="0" borderId="3" xfId="1" applyNumberFormat="1" applyBorder="1" applyAlignment="1">
      <alignment horizontal="center"/>
    </xf>
    <xf numFmtId="0" fontId="25" fillId="0" borderId="1" xfId="0" applyFont="1" applyFill="1" applyBorder="1"/>
    <xf numFmtId="3" fontId="21" fillId="0" borderId="1" xfId="1" applyNumberFormat="1" applyFont="1" applyBorder="1"/>
    <xf numFmtId="0" fontId="4" fillId="0" borderId="7" xfId="1" applyFont="1" applyBorder="1" applyAlignment="1">
      <alignment horizontal="center" vertical="top" wrapText="1"/>
    </xf>
    <xf numFmtId="0" fontId="1" fillId="8" borderId="5" xfId="1" applyFont="1" applyFill="1" applyBorder="1" applyAlignment="1">
      <alignment wrapText="1"/>
    </xf>
    <xf numFmtId="0" fontId="1" fillId="8" borderId="4" xfId="1" applyFont="1" applyFill="1" applyBorder="1" applyAlignment="1">
      <alignment wrapText="1"/>
    </xf>
    <xf numFmtId="2" fontId="1" fillId="0" borderId="0" xfId="1" applyNumberFormat="1" applyFont="1" applyBorder="1" applyAlignment="1">
      <alignment wrapText="1"/>
    </xf>
    <xf numFmtId="10" fontId="15" fillId="0" borderId="3" xfId="1" applyNumberFormat="1" applyFont="1" applyBorder="1"/>
    <xf numFmtId="0" fontId="1" fillId="0" borderId="5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8" fillId="0" borderId="1" xfId="1" applyFill="1" applyBorder="1" applyAlignment="1">
      <alignment horizontal="center"/>
    </xf>
    <xf numFmtId="4" fontId="8" fillId="0" borderId="1" xfId="1" applyNumberForma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8" fillId="0" borderId="0" xfId="1" applyFill="1"/>
    <xf numFmtId="0" fontId="1" fillId="0" borderId="5" xfId="1" applyFont="1" applyFill="1" applyBorder="1"/>
    <xf numFmtId="0" fontId="1" fillId="0" borderId="1" xfId="1" applyFont="1" applyFill="1" applyBorder="1" applyAlignment="1">
      <alignment horizontal="center"/>
    </xf>
    <xf numFmtId="0" fontId="38" fillId="0" borderId="1" xfId="1" applyFont="1" applyFill="1" applyBorder="1" applyAlignment="1">
      <alignment horizontal="center"/>
    </xf>
    <xf numFmtId="2" fontId="39" fillId="2" borderId="1" xfId="0" applyNumberFormat="1" applyFont="1" applyFill="1" applyBorder="1"/>
    <xf numFmtId="4" fontId="1" fillId="0" borderId="6" xfId="1" applyNumberFormat="1" applyFont="1" applyFill="1" applyBorder="1" applyAlignment="1">
      <alignment horizontal="center" vertical="top" wrapText="1"/>
    </xf>
    <xf numFmtId="4" fontId="38" fillId="0" borderId="1" xfId="1" applyNumberFormat="1" applyFont="1" applyBorder="1"/>
    <xf numFmtId="0" fontId="38" fillId="0" borderId="0" xfId="1" applyFont="1"/>
    <xf numFmtId="0" fontId="39" fillId="0" borderId="0" xfId="1" applyFont="1" applyAlignment="1">
      <alignment wrapText="1"/>
    </xf>
    <xf numFmtId="0" fontId="39" fillId="0" borderId="0" xfId="1" applyFont="1"/>
    <xf numFmtId="0" fontId="40" fillId="0" borderId="7" xfId="1" applyFont="1" applyBorder="1" applyAlignment="1">
      <alignment horizontal="center" vertical="top" wrapText="1"/>
    </xf>
    <xf numFmtId="0" fontId="39" fillId="8" borderId="5" xfId="1" applyFont="1" applyFill="1" applyBorder="1" applyAlignment="1">
      <alignment wrapText="1"/>
    </xf>
    <xf numFmtId="0" fontId="39" fillId="8" borderId="4" xfId="1" applyFont="1" applyFill="1" applyBorder="1" applyAlignment="1">
      <alignment wrapText="1"/>
    </xf>
    <xf numFmtId="2" fontId="1" fillId="0" borderId="0" xfId="0" applyNumberFormat="1" applyFont="1" applyBorder="1"/>
    <xf numFmtId="4" fontId="39" fillId="0" borderId="0" xfId="1" applyNumberFormat="1" applyFont="1" applyAlignment="1">
      <alignment wrapText="1"/>
    </xf>
    <xf numFmtId="0" fontId="2" fillId="0" borderId="8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1" fillId="8" borderId="6" xfId="1" applyFont="1" applyFill="1" applyBorder="1" applyAlignment="1">
      <alignment horizontal="center" vertical="top" wrapText="1"/>
    </xf>
    <xf numFmtId="2" fontId="1" fillId="0" borderId="3" xfId="1" applyNumberFormat="1" applyFont="1" applyBorder="1" applyAlignment="1">
      <alignment wrapText="1"/>
    </xf>
    <xf numFmtId="2" fontId="1" fillId="0" borderId="6" xfId="1" applyNumberFormat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0" fontId="2" fillId="0" borderId="0" xfId="1" applyFont="1" applyFill="1" applyBorder="1"/>
    <xf numFmtId="0" fontId="2" fillId="0" borderId="0" xfId="1" applyFont="1" applyFill="1" applyAlignment="1">
      <alignment wrapText="1"/>
    </xf>
    <xf numFmtId="2" fontId="2" fillId="0" borderId="0" xfId="1" applyNumberFormat="1" applyFont="1" applyFill="1"/>
    <xf numFmtId="4" fontId="8" fillId="8" borderId="0" xfId="1" applyNumberFormat="1" applyFill="1"/>
    <xf numFmtId="4" fontId="38" fillId="0" borderId="0" xfId="1" applyNumberFormat="1" applyFont="1" applyFill="1"/>
    <xf numFmtId="0" fontId="31" fillId="0" borderId="0" xfId="0" applyFont="1" applyAlignment="1"/>
    <xf numFmtId="0" fontId="31" fillId="0" borderId="0" xfId="0" applyFont="1" applyAlignment="1">
      <alignment wrapText="1"/>
    </xf>
    <xf numFmtId="4" fontId="1" fillId="0" borderId="1" xfId="1" applyNumberFormat="1" applyFont="1" applyFill="1" applyBorder="1" applyAlignment="1">
      <alignment horizontal="center" vertical="top" wrapText="1"/>
    </xf>
    <xf numFmtId="4" fontId="1" fillId="0" borderId="16" xfId="1" applyNumberFormat="1" applyFont="1" applyFill="1" applyBorder="1" applyAlignment="1">
      <alignment horizontal="center" vertical="top" wrapText="1"/>
    </xf>
    <xf numFmtId="4" fontId="1" fillId="0" borderId="11" xfId="1" applyNumberFormat="1" applyFont="1" applyFill="1" applyBorder="1" applyAlignment="1">
      <alignment horizontal="center" vertical="top" wrapText="1"/>
    </xf>
    <xf numFmtId="4" fontId="1" fillId="0" borderId="18" xfId="1" applyNumberFormat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18" xfId="1" applyFont="1" applyFill="1" applyBorder="1" applyAlignment="1">
      <alignment horizontal="center" vertical="top" wrapText="1"/>
    </xf>
    <xf numFmtId="0" fontId="2" fillId="0" borderId="1" xfId="1" applyFont="1" applyFill="1" applyBorder="1"/>
    <xf numFmtId="0" fontId="2" fillId="0" borderId="3" xfId="1" applyFont="1" applyFill="1" applyBorder="1"/>
    <xf numFmtId="4" fontId="8" fillId="0" borderId="1" xfId="1" applyNumberFormat="1" applyFill="1" applyBorder="1"/>
    <xf numFmtId="4" fontId="21" fillId="0" borderId="1" xfId="1" applyNumberFormat="1" applyFont="1" applyFill="1" applyBorder="1"/>
    <xf numFmtId="4" fontId="8" fillId="0" borderId="1" xfId="1" applyNumberFormat="1" applyFill="1" applyBorder="1" applyProtection="1">
      <protection locked="0"/>
    </xf>
    <xf numFmtId="0" fontId="6" fillId="0" borderId="2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30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8" fillId="3" borderId="25" xfId="0" applyFont="1" applyFill="1" applyBorder="1" applyAlignment="1">
      <alignment horizontal="left" wrapText="1"/>
    </xf>
    <xf numFmtId="0" fontId="6" fillId="0" borderId="25" xfId="0" applyFont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3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3" fillId="0" borderId="25" xfId="0" applyFont="1" applyFill="1" applyBorder="1" applyAlignment="1">
      <alignment horizontal="left" wrapText="1"/>
    </xf>
    <xf numFmtId="0" fontId="11" fillId="0" borderId="38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wrapText="1"/>
    </xf>
    <xf numFmtId="0" fontId="11" fillId="0" borderId="36" xfId="1" applyFont="1" applyBorder="1" applyAlignment="1">
      <alignment horizontal="center" vertical="top" wrapText="1"/>
    </xf>
    <xf numFmtId="0" fontId="11" fillId="0" borderId="37" xfId="1" applyFont="1" applyBorder="1" applyAlignment="1">
      <alignment horizontal="center" vertical="top" wrapText="1"/>
    </xf>
    <xf numFmtId="0" fontId="11" fillId="0" borderId="43" xfId="1" applyFont="1" applyBorder="1" applyAlignment="1">
      <alignment horizontal="center" vertical="top" wrapText="1"/>
    </xf>
    <xf numFmtId="0" fontId="17" fillId="0" borderId="22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11" fillId="0" borderId="41" xfId="1" applyFont="1" applyBorder="1" applyAlignment="1">
      <alignment horizontal="center" vertical="top" wrapText="1"/>
    </xf>
    <xf numFmtId="0" fontId="20" fillId="0" borderId="0" xfId="1" applyFont="1" applyAlignment="1">
      <alignment horizontal="center" vertical="center"/>
    </xf>
    <xf numFmtId="0" fontId="9" fillId="0" borderId="42" xfId="1" applyFont="1" applyBorder="1" applyAlignment="1">
      <alignment horizontal="center" vertical="top" wrapText="1"/>
    </xf>
    <xf numFmtId="0" fontId="17" fillId="0" borderId="41" xfId="1" applyFont="1" applyBorder="1" applyAlignment="1">
      <alignment horizontal="center" vertical="top" wrapText="1"/>
    </xf>
    <xf numFmtId="0" fontId="17" fillId="0" borderId="38" xfId="1" applyFont="1" applyBorder="1" applyAlignment="1">
      <alignment horizontal="center" vertical="top" wrapText="1"/>
    </xf>
    <xf numFmtId="16" fontId="9" fillId="0" borderId="35" xfId="1" applyNumberFormat="1" applyFont="1" applyBorder="1" applyAlignment="1">
      <alignment horizontal="center" vertical="top" wrapText="1"/>
    </xf>
    <xf numFmtId="0" fontId="19" fillId="0" borderId="25" xfId="1" applyFont="1" applyBorder="1" applyAlignment="1">
      <alignment horizontal="left" vertical="center" wrapText="1"/>
    </xf>
    <xf numFmtId="0" fontId="9" fillId="0" borderId="41" xfId="1" applyFont="1" applyBorder="1" applyAlignment="1">
      <alignment horizontal="center" vertical="top" wrapText="1"/>
    </xf>
    <xf numFmtId="0" fontId="9" fillId="0" borderId="38" xfId="1" applyFont="1" applyBorder="1" applyAlignment="1">
      <alignment horizontal="center" vertical="top" wrapText="1"/>
    </xf>
    <xf numFmtId="0" fontId="18" fillId="0" borderId="1" xfId="1" applyFont="1" applyBorder="1" applyAlignment="1">
      <alignment horizontal="center" wrapText="1"/>
    </xf>
    <xf numFmtId="0" fontId="9" fillId="0" borderId="35" xfId="1" applyFont="1" applyBorder="1" applyAlignment="1">
      <alignment horizontal="center" wrapText="1"/>
    </xf>
    <xf numFmtId="0" fontId="17" fillId="0" borderId="36" xfId="1" applyFont="1" applyBorder="1" applyAlignment="1">
      <alignment horizontal="center" vertical="top" wrapText="1"/>
    </xf>
    <xf numFmtId="0" fontId="17" fillId="0" borderId="37" xfId="1" applyFont="1" applyBorder="1" applyAlignment="1">
      <alignment horizontal="center" vertical="top" wrapText="1"/>
    </xf>
    <xf numFmtId="0" fontId="44" fillId="0" borderId="37" xfId="0" applyFont="1" applyBorder="1" applyAlignment="1">
      <alignment horizontal="center"/>
    </xf>
    <xf numFmtId="16" fontId="9" fillId="0" borderId="38" xfId="1" applyNumberFormat="1" applyFont="1" applyBorder="1" applyAlignment="1">
      <alignment horizontal="center" vertical="top" wrapText="1"/>
    </xf>
    <xf numFmtId="0" fontId="9" fillId="0" borderId="36" xfId="1" applyFont="1" applyBorder="1" applyAlignment="1">
      <alignment horizontal="center" vertical="top" wrapText="1"/>
    </xf>
    <xf numFmtId="0" fontId="9" fillId="0" borderId="37" xfId="1" applyFont="1" applyBorder="1" applyAlignment="1">
      <alignment horizontal="center" vertical="top" wrapText="1"/>
    </xf>
    <xf numFmtId="0" fontId="9" fillId="0" borderId="37" xfId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9" xfId="1" applyFont="1" applyBorder="1" applyAlignment="1">
      <alignment horizontal="center" vertical="top" wrapText="1"/>
    </xf>
    <xf numFmtId="0" fontId="9" fillId="0" borderId="40" xfId="1" applyFont="1" applyBorder="1" applyAlignment="1">
      <alignment horizontal="center" vertical="top" wrapText="1"/>
    </xf>
    <xf numFmtId="0" fontId="0" fillId="0" borderId="40" xfId="0" applyBorder="1" applyAlignment="1">
      <alignment horizontal="center"/>
    </xf>
    <xf numFmtId="0" fontId="1" fillId="0" borderId="0" xfId="1" applyFont="1" applyAlignment="1">
      <alignment horizontal="right" wrapText="1"/>
    </xf>
    <xf numFmtId="0" fontId="11" fillId="0" borderId="0" xfId="1" applyFont="1" applyBorder="1" applyAlignment="1">
      <alignment horizontal="center" wrapText="1"/>
    </xf>
    <xf numFmtId="4" fontId="39" fillId="0" borderId="39" xfId="1" applyNumberFormat="1" applyFont="1" applyBorder="1" applyAlignment="1">
      <alignment wrapText="1"/>
    </xf>
    <xf numFmtId="4" fontId="39" fillId="0" borderId="49" xfId="1" applyNumberFormat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39" fillId="0" borderId="39" xfId="1" applyFont="1" applyBorder="1" applyAlignment="1">
      <alignment horizontal="center" wrapText="1"/>
    </xf>
    <xf numFmtId="0" fontId="39" fillId="0" borderId="44" xfId="1" applyFont="1" applyBorder="1" applyAlignment="1">
      <alignment horizontal="center" wrapText="1"/>
    </xf>
    <xf numFmtId="0" fontId="45" fillId="0" borderId="0" xfId="1" applyFont="1" applyAlignment="1">
      <alignment horizontal="center" wrapText="1"/>
    </xf>
    <xf numFmtId="0" fontId="39" fillId="0" borderId="45" xfId="1" applyFont="1" applyBorder="1" applyAlignment="1">
      <alignment horizontal="center" vertical="top" wrapText="1"/>
    </xf>
    <xf numFmtId="0" fontId="36" fillId="0" borderId="46" xfId="0" applyFont="1" applyBorder="1"/>
    <xf numFmtId="0" fontId="40" fillId="0" borderId="12" xfId="1" applyFont="1" applyBorder="1" applyAlignment="1">
      <alignment horizontal="center" vertical="top" wrapText="1"/>
    </xf>
    <xf numFmtId="0" fontId="40" fillId="0" borderId="11" xfId="1" applyFont="1" applyBorder="1" applyAlignment="1">
      <alignment horizontal="center" vertical="top" wrapText="1"/>
    </xf>
    <xf numFmtId="0" fontId="39" fillId="0" borderId="23" xfId="1" applyFont="1" applyBorder="1" applyAlignment="1">
      <alignment horizontal="center" wrapText="1"/>
    </xf>
    <xf numFmtId="0" fontId="39" fillId="0" borderId="24" xfId="1" applyFont="1" applyBorder="1" applyAlignment="1">
      <alignment horizontal="center" wrapText="1"/>
    </xf>
    <xf numFmtId="4" fontId="39" fillId="0" borderId="1" xfId="1" applyNumberFormat="1" applyFont="1" applyBorder="1" applyAlignment="1">
      <alignment wrapText="1"/>
    </xf>
    <xf numFmtId="0" fontId="39" fillId="0" borderId="6" xfId="1" applyFont="1" applyBorder="1" applyAlignment="1">
      <alignment wrapText="1"/>
    </xf>
    <xf numFmtId="4" fontId="39" fillId="0" borderId="3" xfId="1" applyNumberFormat="1" applyFont="1" applyBorder="1" applyAlignment="1">
      <alignment wrapText="1"/>
    </xf>
    <xf numFmtId="0" fontId="39" fillId="0" borderId="2" xfId="1" applyFont="1" applyBorder="1" applyAlignment="1">
      <alignment wrapText="1"/>
    </xf>
    <xf numFmtId="4" fontId="1" fillId="6" borderId="39" xfId="1" applyNumberFormat="1" applyFont="1" applyFill="1" applyBorder="1" applyAlignment="1">
      <alignment horizontal="center" wrapText="1"/>
    </xf>
    <xf numFmtId="4" fontId="1" fillId="6" borderId="49" xfId="1" applyNumberFormat="1" applyFont="1" applyFill="1" applyBorder="1" applyAlignment="1">
      <alignment horizontal="center" wrapText="1"/>
    </xf>
    <xf numFmtId="0" fontId="1" fillId="0" borderId="45" xfId="1" applyFont="1" applyBorder="1" applyAlignment="1">
      <alignment horizontal="center" vertical="top" wrapText="1"/>
    </xf>
    <xf numFmtId="0" fontId="0" fillId="0" borderId="46" xfId="0" applyBorder="1"/>
    <xf numFmtId="0" fontId="4" fillId="0" borderId="12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wrapText="1"/>
    </xf>
    <xf numFmtId="4" fontId="1" fillId="6" borderId="23" xfId="1" applyNumberFormat="1" applyFont="1" applyFill="1" applyBorder="1" applyAlignment="1">
      <alignment horizontal="center" wrapText="1"/>
    </xf>
    <xf numFmtId="4" fontId="1" fillId="6" borderId="47" xfId="1" applyNumberFormat="1" applyFont="1" applyFill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wrapText="1"/>
    </xf>
    <xf numFmtId="0" fontId="1" fillId="0" borderId="24" xfId="1" applyFont="1" applyBorder="1" applyAlignment="1">
      <alignment horizontal="center" wrapText="1"/>
    </xf>
    <xf numFmtId="4" fontId="1" fillId="0" borderId="1" xfId="1" applyNumberFormat="1" applyFont="1" applyBorder="1" applyAlignment="1">
      <alignment wrapText="1"/>
    </xf>
    <xf numFmtId="0" fontId="1" fillId="0" borderId="6" xfId="1" applyFont="1" applyBorder="1" applyAlignment="1">
      <alignment wrapText="1"/>
    </xf>
    <xf numFmtId="0" fontId="9" fillId="0" borderId="0" xfId="1" applyFont="1" applyAlignment="1">
      <alignment horizontal="center" wrapText="1"/>
    </xf>
    <xf numFmtId="0" fontId="1" fillId="0" borderId="1" xfId="1" applyFont="1" applyBorder="1" applyAlignment="1">
      <alignment wrapText="1"/>
    </xf>
    <xf numFmtId="0" fontId="1" fillId="0" borderId="3" xfId="1" applyFont="1" applyBorder="1" applyAlignment="1">
      <alignment wrapText="1"/>
    </xf>
    <xf numFmtId="0" fontId="1" fillId="0" borderId="2" xfId="1" applyFont="1" applyBorder="1" applyAlignment="1">
      <alignment wrapText="1"/>
    </xf>
    <xf numFmtId="0" fontId="4" fillId="0" borderId="1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wrapText="1"/>
    </xf>
    <xf numFmtId="0" fontId="2" fillId="0" borderId="50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47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9" fillId="0" borderId="0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28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24" xfId="1" applyFont="1" applyBorder="1" applyAlignment="1">
      <alignment horizontal="center" wrapText="1"/>
    </xf>
    <xf numFmtId="0" fontId="16" fillId="0" borderId="0" xfId="1" applyFont="1" applyAlignment="1">
      <alignment horizontal="center" wrapText="1"/>
    </xf>
    <xf numFmtId="0" fontId="1" fillId="0" borderId="0" xfId="1" applyFont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1" applyFont="1" applyAlignment="1">
      <alignment horizontal="center" wrapText="1"/>
    </xf>
    <xf numFmtId="0" fontId="8" fillId="0" borderId="0" xfId="1" applyFont="1" applyFill="1" applyAlignment="1">
      <alignment horizontal="center"/>
    </xf>
    <xf numFmtId="0" fontId="8" fillId="0" borderId="0" xfId="1" applyFill="1" applyAlignment="1">
      <alignment horizontal="center"/>
    </xf>
    <xf numFmtId="0" fontId="22" fillId="0" borderId="0" xfId="1" applyFont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3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1" xfId="0" applyFont="1" applyBorder="1" applyAlignment="1">
      <alignment horizontal="left" wrapText="1"/>
    </xf>
    <xf numFmtId="0" fontId="31" fillId="0" borderId="9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215~1/AppData/Local/Temp/21%20&#1085;&#1086;&#1074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5%20&#1086;&#1090;%20&#1040;&#1073;&#1089;&#1072;&#1083;&#1103;&#1084;&#1086;&#1074;&#1086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ун.зад."/>
      <sheetName val="проверка 2017"/>
      <sheetName val="проверка 2018 "/>
      <sheetName val="проверка 2019"/>
      <sheetName val="прил.1+2"/>
      <sheetName val="прил.3"/>
      <sheetName val="прил.4"/>
      <sheetName val="прил.5"/>
      <sheetName val="прил.6"/>
      <sheetName val="свод "/>
    </sheetNames>
    <sheetDataSet>
      <sheetData sheetId="0" refreshError="1"/>
      <sheetData sheetId="1" refreshError="1">
        <row r="17">
          <cell r="H17">
            <v>10007.64</v>
          </cell>
          <cell r="I17">
            <v>36.520000000000003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свод"/>
      <sheetName val="пр.1+2 "/>
      <sheetName val="пр.3"/>
      <sheetName val="пр.4"/>
      <sheetName val="пр.5"/>
      <sheetName val="пр.6"/>
      <sheetName val="проверка 2017"/>
      <sheetName val="проверка 2018"/>
      <sheetName val="проверка 2019"/>
      <sheetName val="3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I6">
            <v>0</v>
          </cell>
          <cell r="J6">
            <v>0</v>
          </cell>
          <cell r="L6">
            <v>0</v>
          </cell>
          <cell r="N6">
            <v>0</v>
          </cell>
          <cell r="O6">
            <v>0</v>
          </cell>
        </row>
      </sheetData>
      <sheetData sheetId="8">
        <row r="6">
          <cell r="I6">
            <v>0</v>
          </cell>
          <cell r="J6">
            <v>0</v>
          </cell>
          <cell r="L6">
            <v>0</v>
          </cell>
          <cell r="N6">
            <v>0</v>
          </cell>
          <cell r="O6">
            <v>0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0"/>
  <sheetViews>
    <sheetView view="pageBreakPreview" topLeftCell="A16" zoomScaleSheetLayoutView="100" workbookViewId="0">
      <selection activeCell="Q12" sqref="Q12"/>
    </sheetView>
  </sheetViews>
  <sheetFormatPr defaultRowHeight="15"/>
  <cols>
    <col min="1" max="1" width="19.140625" style="4" customWidth="1"/>
    <col min="2" max="2" width="3.85546875" style="4" customWidth="1"/>
    <col min="3" max="3" width="6.5703125" style="4" customWidth="1"/>
    <col min="4" max="4" width="6.42578125" style="4" customWidth="1"/>
    <col min="5" max="5" width="9.140625" style="4"/>
    <col min="6" max="7" width="7.5703125" style="4" customWidth="1"/>
    <col min="8" max="8" width="27.7109375" style="4" customWidth="1"/>
    <col min="9" max="9" width="5.85546875" style="4" customWidth="1"/>
    <col min="10" max="10" width="6" style="4" customWidth="1"/>
    <col min="11" max="11" width="7.42578125" style="4" customWidth="1"/>
    <col min="12" max="13" width="9.140625" style="4"/>
    <col min="14" max="14" width="9.42578125" style="4" customWidth="1"/>
    <col min="15" max="15" width="7.42578125" style="4" customWidth="1"/>
    <col min="16" max="16" width="10.85546875" style="4" bestFit="1" customWidth="1"/>
    <col min="17" max="16384" width="9.140625" style="4"/>
  </cols>
  <sheetData>
    <row r="1" spans="1:16">
      <c r="L1" s="4" t="s">
        <v>10</v>
      </c>
    </row>
    <row r="2" spans="1:16">
      <c r="L2" s="4" t="s">
        <v>18</v>
      </c>
    </row>
    <row r="3" spans="1:16">
      <c r="L3" s="4" t="s">
        <v>19</v>
      </c>
    </row>
    <row r="4" spans="1:16">
      <c r="L4" s="4" t="s">
        <v>277</v>
      </c>
    </row>
    <row r="5" spans="1:16">
      <c r="L5" s="5" t="s">
        <v>400</v>
      </c>
      <c r="M5" s="5"/>
      <c r="N5" s="5"/>
    </row>
    <row r="6" spans="1:16" ht="6.75" customHeight="1"/>
    <row r="7" spans="1:16" ht="5.25" customHeight="1"/>
    <row r="8" spans="1:16">
      <c r="A8" s="373" t="s">
        <v>388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</row>
    <row r="9" spans="1:16">
      <c r="A9" s="374" t="s">
        <v>360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</row>
    <row r="10" spans="1:16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369" t="s">
        <v>9</v>
      </c>
      <c r="P10" s="369"/>
    </row>
    <row r="11" spans="1:16">
      <c r="M11" s="375" t="s">
        <v>7</v>
      </c>
      <c r="N11" s="376"/>
      <c r="O11" s="377" t="s">
        <v>8</v>
      </c>
      <c r="P11" s="377"/>
    </row>
    <row r="12" spans="1:16">
      <c r="M12" s="188"/>
      <c r="N12" s="188" t="s">
        <v>6</v>
      </c>
      <c r="O12" s="378">
        <v>43083</v>
      </c>
      <c r="P12" s="369"/>
    </row>
    <row r="13" spans="1:16">
      <c r="A13" s="4" t="s">
        <v>0</v>
      </c>
      <c r="M13" s="188"/>
      <c r="N13" s="188"/>
      <c r="O13" s="369"/>
      <c r="P13" s="369"/>
    </row>
    <row r="14" spans="1:16" ht="16.5" customHeight="1">
      <c r="A14" s="379" t="s">
        <v>389</v>
      </c>
      <c r="B14" s="379"/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75" t="s">
        <v>4</v>
      </c>
      <c r="N14" s="376"/>
      <c r="O14" s="369"/>
      <c r="P14" s="369"/>
    </row>
    <row r="15" spans="1:16">
      <c r="A15" s="6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88"/>
      <c r="N15" s="188" t="s">
        <v>5</v>
      </c>
      <c r="O15" s="372" t="s">
        <v>382</v>
      </c>
      <c r="P15" s="372"/>
    </row>
    <row r="16" spans="1:16">
      <c r="A16" s="368" t="s">
        <v>91</v>
      </c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188"/>
      <c r="N16" s="188" t="s">
        <v>5</v>
      </c>
      <c r="O16" s="369" t="s">
        <v>383</v>
      </c>
      <c r="P16" s="369"/>
    </row>
    <row r="17" spans="1:16">
      <c r="A17" s="371"/>
      <c r="B17" s="371"/>
      <c r="C17" s="371"/>
      <c r="D17" s="371"/>
      <c r="E17" s="371"/>
      <c r="F17" s="371"/>
      <c r="G17" s="371"/>
      <c r="H17" s="371"/>
      <c r="I17" s="371"/>
      <c r="J17" s="371"/>
      <c r="K17" s="371"/>
      <c r="L17" s="371"/>
      <c r="M17" s="188"/>
      <c r="N17" s="188" t="s">
        <v>5</v>
      </c>
      <c r="O17" s="369" t="s">
        <v>384</v>
      </c>
      <c r="P17" s="369"/>
    </row>
    <row r="18" spans="1:16">
      <c r="A18" s="4" t="s">
        <v>2</v>
      </c>
      <c r="O18" s="369"/>
      <c r="P18" s="369"/>
    </row>
    <row r="19" spans="1:16">
      <c r="A19" s="368" t="s">
        <v>92</v>
      </c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N19" s="188" t="s">
        <v>5</v>
      </c>
      <c r="O19" s="369"/>
      <c r="P19" s="369"/>
    </row>
    <row r="20" spans="1:16">
      <c r="A20" s="370" t="s">
        <v>3</v>
      </c>
      <c r="B20" s="370"/>
      <c r="C20" s="370"/>
      <c r="D20" s="370"/>
      <c r="E20" s="370"/>
      <c r="F20" s="370"/>
      <c r="G20" s="370"/>
      <c r="H20" s="370"/>
      <c r="I20" s="370"/>
      <c r="J20" s="370"/>
      <c r="K20" s="295"/>
      <c r="L20" s="295"/>
    </row>
    <row r="21" spans="1:16" ht="8.25" customHeight="1"/>
    <row r="22" spans="1:16" ht="5.25" customHeight="1"/>
    <row r="23" spans="1:16">
      <c r="A23" s="373" t="s">
        <v>11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</row>
    <row r="24" spans="1:16">
      <c r="A24" s="373" t="s">
        <v>278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</row>
    <row r="25" spans="1:16" ht="7.5" customHeight="1"/>
    <row r="26" spans="1:16">
      <c r="A26" s="4" t="s">
        <v>12</v>
      </c>
      <c r="E26" s="368" t="s">
        <v>85</v>
      </c>
      <c r="F26" s="368"/>
      <c r="G26" s="368"/>
      <c r="H26" s="368"/>
      <c r="I26" s="368"/>
      <c r="J26" s="368"/>
      <c r="K26" s="368"/>
      <c r="L26" s="368"/>
      <c r="M26" s="296"/>
      <c r="N26" s="296" t="s">
        <v>14</v>
      </c>
      <c r="O26" s="369" t="s">
        <v>93</v>
      </c>
      <c r="P26" s="369"/>
    </row>
    <row r="27" spans="1:16">
      <c r="A27" s="380" t="s">
        <v>84</v>
      </c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296"/>
      <c r="N27" s="296" t="s">
        <v>15</v>
      </c>
      <c r="O27" s="369"/>
      <c r="P27" s="369"/>
    </row>
    <row r="28" spans="1:16">
      <c r="A28" s="4" t="s">
        <v>13</v>
      </c>
      <c r="M28" s="296"/>
      <c r="N28" s="296" t="s">
        <v>16</v>
      </c>
      <c r="O28" s="369"/>
      <c r="P28" s="369"/>
    </row>
    <row r="29" spans="1:16">
      <c r="A29" s="380" t="s">
        <v>86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</row>
    <row r="30" spans="1:16" ht="4.5" customHeight="1">
      <c r="A30" s="295"/>
      <c r="B30" s="295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</row>
    <row r="31" spans="1:16">
      <c r="A31" s="4" t="s">
        <v>17</v>
      </c>
    </row>
    <row r="32" spans="1:16" ht="5.25" customHeight="1"/>
    <row r="33" spans="1:16">
      <c r="A33" s="4" t="s">
        <v>20</v>
      </c>
    </row>
    <row r="34" spans="1:16" ht="7.5" customHeight="1"/>
    <row r="35" spans="1:16" ht="45" customHeight="1">
      <c r="A35" s="382" t="s">
        <v>21</v>
      </c>
      <c r="B35" s="382"/>
      <c r="C35" s="392" t="s">
        <v>22</v>
      </c>
      <c r="D35" s="393"/>
      <c r="E35" s="394"/>
      <c r="F35" s="382" t="s">
        <v>24</v>
      </c>
      <c r="G35" s="382"/>
      <c r="H35" s="382" t="s">
        <v>25</v>
      </c>
      <c r="I35" s="382"/>
      <c r="J35" s="382"/>
      <c r="K35" s="382"/>
      <c r="L35" s="382"/>
      <c r="M35" s="392" t="s">
        <v>26</v>
      </c>
      <c r="N35" s="393"/>
      <c r="O35" s="394"/>
      <c r="P35" s="291"/>
    </row>
    <row r="36" spans="1:16" s="190" customFormat="1" ht="24.75" customHeight="1">
      <c r="A36" s="382"/>
      <c r="B36" s="382"/>
      <c r="C36" s="395" t="s">
        <v>23</v>
      </c>
      <c r="D36" s="395" t="s">
        <v>23</v>
      </c>
      <c r="E36" s="395" t="s">
        <v>23</v>
      </c>
      <c r="F36" s="395" t="s">
        <v>23</v>
      </c>
      <c r="G36" s="395" t="s">
        <v>23</v>
      </c>
      <c r="H36" s="382" t="s">
        <v>30</v>
      </c>
      <c r="I36" s="382"/>
      <c r="J36" s="382" t="s">
        <v>27</v>
      </c>
      <c r="K36" s="382"/>
      <c r="L36" s="382"/>
      <c r="M36" s="385" t="s">
        <v>347</v>
      </c>
      <c r="N36" s="385" t="s">
        <v>348</v>
      </c>
      <c r="O36" s="385" t="s">
        <v>349</v>
      </c>
      <c r="P36" s="189"/>
    </row>
    <row r="37" spans="1:16" s="190" customFormat="1" ht="16.5" customHeight="1">
      <c r="A37" s="382"/>
      <c r="B37" s="382"/>
      <c r="C37" s="395"/>
      <c r="D37" s="395"/>
      <c r="E37" s="395"/>
      <c r="F37" s="395"/>
      <c r="G37" s="395"/>
      <c r="H37" s="382"/>
      <c r="I37" s="382"/>
      <c r="J37" s="396" t="s">
        <v>29</v>
      </c>
      <c r="K37" s="397"/>
      <c r="L37" s="7" t="s">
        <v>28</v>
      </c>
      <c r="M37" s="386"/>
      <c r="N37" s="386"/>
      <c r="O37" s="386"/>
      <c r="P37" s="189"/>
    </row>
    <row r="38" spans="1:16" s="201" customFormat="1" ht="11.25" customHeight="1">
      <c r="A38" s="387">
        <v>1</v>
      </c>
      <c r="B38" s="387"/>
      <c r="C38" s="293">
        <v>2</v>
      </c>
      <c r="D38" s="293">
        <v>3</v>
      </c>
      <c r="E38" s="293">
        <v>4</v>
      </c>
      <c r="F38" s="293">
        <v>5</v>
      </c>
      <c r="G38" s="293">
        <v>6</v>
      </c>
      <c r="H38" s="387">
        <v>7</v>
      </c>
      <c r="I38" s="387"/>
      <c r="J38" s="388">
        <v>8</v>
      </c>
      <c r="K38" s="389"/>
      <c r="L38" s="293">
        <v>9</v>
      </c>
      <c r="M38" s="293">
        <v>10</v>
      </c>
      <c r="N38" s="293">
        <v>11</v>
      </c>
      <c r="O38" s="293">
        <v>12</v>
      </c>
      <c r="P38" s="202"/>
    </row>
    <row r="39" spans="1:16" ht="30" customHeight="1">
      <c r="A39" s="390" t="s">
        <v>351</v>
      </c>
      <c r="B39" s="391"/>
      <c r="C39" s="8"/>
      <c r="D39" s="8"/>
      <c r="E39" s="8"/>
      <c r="F39" s="8" t="s">
        <v>87</v>
      </c>
      <c r="G39" s="8"/>
      <c r="H39" s="399" t="s">
        <v>94</v>
      </c>
      <c r="I39" s="400"/>
      <c r="J39" s="401" t="s">
        <v>95</v>
      </c>
      <c r="K39" s="402"/>
      <c r="L39" s="191">
        <v>744</v>
      </c>
      <c r="M39" s="314" t="s">
        <v>274</v>
      </c>
      <c r="N39" s="314" t="s">
        <v>274</v>
      </c>
      <c r="O39" s="314" t="s">
        <v>274</v>
      </c>
      <c r="P39" s="193"/>
    </row>
    <row r="40" spans="1:16" ht="30" customHeight="1">
      <c r="A40" s="390" t="s">
        <v>352</v>
      </c>
      <c r="B40" s="391"/>
      <c r="C40" s="8"/>
      <c r="D40" s="8"/>
      <c r="E40" s="8"/>
      <c r="F40" s="10" t="s">
        <v>88</v>
      </c>
      <c r="G40" s="8"/>
      <c r="H40" s="399" t="s">
        <v>94</v>
      </c>
      <c r="I40" s="400"/>
      <c r="J40" s="401" t="s">
        <v>95</v>
      </c>
      <c r="K40" s="402"/>
      <c r="L40" s="191">
        <v>744</v>
      </c>
      <c r="M40" s="314" t="s">
        <v>274</v>
      </c>
      <c r="N40" s="314" t="s">
        <v>274</v>
      </c>
      <c r="O40" s="314" t="s">
        <v>274</v>
      </c>
      <c r="P40" s="193"/>
    </row>
    <row r="41" spans="1:16" hidden="1">
      <c r="A41" s="383"/>
      <c r="B41" s="384"/>
      <c r="C41" s="1"/>
      <c r="D41" s="1"/>
      <c r="E41" s="1"/>
      <c r="F41" s="1"/>
      <c r="G41" s="1"/>
      <c r="H41" s="383"/>
      <c r="I41" s="384"/>
      <c r="J41" s="383"/>
      <c r="K41" s="384"/>
      <c r="L41" s="1"/>
      <c r="M41" s="1"/>
      <c r="N41" s="1"/>
      <c r="O41" s="383"/>
      <c r="P41" s="398"/>
    </row>
    <row r="42" spans="1:16" hidden="1">
      <c r="A42" s="383"/>
      <c r="B42" s="384"/>
      <c r="C42" s="1"/>
      <c r="D42" s="1"/>
      <c r="E42" s="1"/>
      <c r="F42" s="1"/>
      <c r="G42" s="1"/>
      <c r="H42" s="383"/>
      <c r="I42" s="384"/>
      <c r="J42" s="383"/>
      <c r="K42" s="384"/>
      <c r="L42" s="1"/>
      <c r="M42" s="1"/>
      <c r="N42" s="1"/>
      <c r="O42" s="383"/>
      <c r="P42" s="384"/>
    </row>
    <row r="43" spans="1:16" hidden="1">
      <c r="A43" s="383"/>
      <c r="B43" s="384"/>
      <c r="C43" s="1"/>
      <c r="D43" s="1"/>
      <c r="E43" s="1"/>
      <c r="F43" s="1"/>
      <c r="G43" s="1"/>
      <c r="H43" s="383"/>
      <c r="I43" s="384"/>
      <c r="J43" s="383"/>
      <c r="K43" s="384"/>
      <c r="L43" s="1"/>
      <c r="M43" s="1"/>
      <c r="N43" s="1"/>
      <c r="O43" s="383"/>
      <c r="P43" s="384"/>
    </row>
    <row r="44" spans="1:16" hidden="1">
      <c r="A44" s="383"/>
      <c r="B44" s="384"/>
      <c r="C44" s="1"/>
      <c r="D44" s="1"/>
      <c r="E44" s="1"/>
      <c r="F44" s="1"/>
      <c r="G44" s="1"/>
      <c r="H44" s="383"/>
      <c r="I44" s="384"/>
      <c r="J44" s="383"/>
      <c r="K44" s="384"/>
      <c r="L44" s="1"/>
      <c r="M44" s="1"/>
      <c r="N44" s="1"/>
      <c r="O44" s="383"/>
      <c r="P44" s="384"/>
    </row>
    <row r="45" spans="1:16" hidden="1">
      <c r="A45" s="383"/>
      <c r="B45" s="384"/>
      <c r="C45" s="1"/>
      <c r="D45" s="1"/>
      <c r="E45" s="1"/>
      <c r="F45" s="1"/>
      <c r="G45" s="1"/>
      <c r="H45" s="383"/>
      <c r="I45" s="384"/>
      <c r="J45" s="383"/>
      <c r="K45" s="384"/>
      <c r="L45" s="1"/>
      <c r="M45" s="1"/>
      <c r="N45" s="1"/>
      <c r="O45" s="383"/>
      <c r="P45" s="384"/>
    </row>
    <row r="46" spans="1:16" hidden="1">
      <c r="A46" s="383"/>
      <c r="B46" s="384"/>
      <c r="C46" s="1"/>
      <c r="D46" s="1"/>
      <c r="E46" s="1"/>
      <c r="F46" s="1"/>
      <c r="G46" s="1"/>
      <c r="H46" s="383"/>
      <c r="I46" s="384"/>
      <c r="J46" s="383"/>
      <c r="K46" s="384"/>
      <c r="L46" s="1"/>
      <c r="M46" s="1"/>
      <c r="N46" s="1"/>
      <c r="O46" s="383"/>
      <c r="P46" s="384"/>
    </row>
    <row r="47" spans="1:16" ht="7.5" customHeight="1"/>
    <row r="48" spans="1:16">
      <c r="A48" s="4" t="s">
        <v>31</v>
      </c>
    </row>
    <row r="49" spans="1:16">
      <c r="A49" s="4" t="s">
        <v>32</v>
      </c>
      <c r="C49" s="381"/>
      <c r="D49" s="381"/>
    </row>
    <row r="50" spans="1:16" ht="4.5" customHeight="1">
      <c r="D50" s="194"/>
    </row>
    <row r="51" spans="1:16">
      <c r="A51" s="4" t="s">
        <v>41</v>
      </c>
    </row>
    <row r="52" spans="1:16" ht="5.25" customHeight="1"/>
    <row r="53" spans="1:16" ht="44.25" customHeight="1">
      <c r="A53" s="405" t="s">
        <v>21</v>
      </c>
      <c r="B53" s="408"/>
      <c r="C53" s="392" t="s">
        <v>22</v>
      </c>
      <c r="D53" s="393"/>
      <c r="E53" s="394"/>
      <c r="F53" s="382" t="s">
        <v>24</v>
      </c>
      <c r="G53" s="382"/>
      <c r="H53" s="382" t="s">
        <v>33</v>
      </c>
      <c r="I53" s="382"/>
      <c r="J53" s="382"/>
      <c r="K53" s="382" t="s">
        <v>34</v>
      </c>
      <c r="L53" s="382"/>
      <c r="M53" s="382"/>
      <c r="N53" s="393" t="s">
        <v>35</v>
      </c>
      <c r="O53" s="393"/>
      <c r="P53" s="394"/>
    </row>
    <row r="54" spans="1:16" ht="42" customHeight="1">
      <c r="A54" s="409"/>
      <c r="B54" s="410"/>
      <c r="C54" s="395" t="s">
        <v>23</v>
      </c>
      <c r="D54" s="395" t="s">
        <v>23</v>
      </c>
      <c r="E54" s="395" t="s">
        <v>23</v>
      </c>
      <c r="F54" s="395" t="s">
        <v>23</v>
      </c>
      <c r="G54" s="395" t="s">
        <v>23</v>
      </c>
      <c r="H54" s="382" t="s">
        <v>30</v>
      </c>
      <c r="I54" s="382" t="s">
        <v>27</v>
      </c>
      <c r="J54" s="382"/>
      <c r="K54" s="403" t="s">
        <v>347</v>
      </c>
      <c r="L54" s="403" t="s">
        <v>348</v>
      </c>
      <c r="M54" s="405" t="s">
        <v>349</v>
      </c>
      <c r="N54" s="403" t="s">
        <v>347</v>
      </c>
      <c r="O54" s="403" t="s">
        <v>348</v>
      </c>
      <c r="P54" s="405" t="s">
        <v>349</v>
      </c>
    </row>
    <row r="55" spans="1:16" ht="13.5" customHeight="1">
      <c r="A55" s="406"/>
      <c r="B55" s="411"/>
      <c r="C55" s="395"/>
      <c r="D55" s="395"/>
      <c r="E55" s="395"/>
      <c r="F55" s="395"/>
      <c r="G55" s="395"/>
      <c r="H55" s="382"/>
      <c r="I55" s="292" t="s">
        <v>37</v>
      </c>
      <c r="J55" s="7" t="s">
        <v>28</v>
      </c>
      <c r="K55" s="404"/>
      <c r="L55" s="404"/>
      <c r="M55" s="406"/>
      <c r="N55" s="404"/>
      <c r="O55" s="404"/>
      <c r="P55" s="406"/>
    </row>
    <row r="56" spans="1:16">
      <c r="A56" s="401">
        <v>1</v>
      </c>
      <c r="B56" s="402"/>
      <c r="C56" s="7">
        <v>2</v>
      </c>
      <c r="D56" s="7">
        <v>3</v>
      </c>
      <c r="E56" s="7">
        <v>4</v>
      </c>
      <c r="F56" s="7">
        <v>5</v>
      </c>
      <c r="G56" s="7">
        <v>6</v>
      </c>
      <c r="H56" s="7">
        <v>7</v>
      </c>
      <c r="I56" s="7">
        <v>8</v>
      </c>
      <c r="J56" s="7">
        <v>9</v>
      </c>
      <c r="K56" s="7">
        <v>10</v>
      </c>
      <c r="L56" s="7">
        <v>11</v>
      </c>
      <c r="M56" s="7">
        <v>12</v>
      </c>
      <c r="N56" s="7">
        <v>13</v>
      </c>
      <c r="O56" s="7">
        <v>14</v>
      </c>
      <c r="P56" s="7">
        <v>15</v>
      </c>
    </row>
    <row r="57" spans="1:16" ht="24.75" customHeight="1">
      <c r="A57" s="413" t="str">
        <f>A39</f>
        <v xml:space="preserve">567010000131001520311787000301000101000101101 </v>
      </c>
      <c r="B57" s="391"/>
      <c r="C57" s="8"/>
      <c r="D57" s="8"/>
      <c r="E57" s="8"/>
      <c r="F57" s="8" t="s">
        <v>87</v>
      </c>
      <c r="G57" s="8"/>
      <c r="H57" s="10" t="s">
        <v>89</v>
      </c>
      <c r="I57" s="9" t="s">
        <v>90</v>
      </c>
      <c r="J57" s="8">
        <v>792</v>
      </c>
      <c r="K57" s="8">
        <f ca="1">'проверка 2017'!I4+'проверка 2017'!J4</f>
        <v>291</v>
      </c>
      <c r="L57" s="8">
        <f ca="1">'проверка 2018'!I4+'проверка 2018'!J4</f>
        <v>288</v>
      </c>
      <c r="M57" s="8">
        <f ca="1">'проверка 2019'!I4+'проверка 2019'!J4</f>
        <v>297</v>
      </c>
      <c r="N57" s="8">
        <f ca="1">'проверка 2017'!I33</f>
        <v>29057.63</v>
      </c>
      <c r="O57" s="8">
        <f ca="1">'проверка 2018'!I29</f>
        <v>28249.73</v>
      </c>
      <c r="P57" s="8">
        <f ca="1">'проверка 2019'!I29</f>
        <v>28775.7</v>
      </c>
    </row>
    <row r="58" spans="1:16" ht="27" customHeight="1">
      <c r="A58" s="413" t="str">
        <f>A40</f>
        <v xml:space="preserve">567010000131001520311787000301000105006101101 </v>
      </c>
      <c r="B58" s="391"/>
      <c r="C58" s="8"/>
      <c r="D58" s="8"/>
      <c r="E58" s="8"/>
      <c r="F58" s="10" t="s">
        <v>88</v>
      </c>
      <c r="G58" s="8"/>
      <c r="H58" s="10" t="s">
        <v>89</v>
      </c>
      <c r="I58" s="9" t="s">
        <v>90</v>
      </c>
      <c r="J58" s="8">
        <v>792</v>
      </c>
      <c r="K58" s="8"/>
      <c r="L58" s="8"/>
      <c r="M58" s="8"/>
      <c r="N58" s="8"/>
      <c r="O58" s="9"/>
      <c r="P58" s="9"/>
    </row>
    <row r="59" spans="1:16" hidden="1">
      <c r="A59" s="9"/>
      <c r="B59" s="9"/>
      <c r="C59" s="8"/>
      <c r="D59" s="8"/>
      <c r="E59" s="8"/>
      <c r="F59" s="8"/>
      <c r="G59" s="8"/>
      <c r="H59" s="9"/>
      <c r="I59" s="9"/>
      <c r="J59" s="8"/>
      <c r="K59" s="8"/>
      <c r="L59" s="8"/>
      <c r="M59" s="8"/>
      <c r="N59" s="8"/>
      <c r="O59" s="195"/>
      <c r="P59" s="196"/>
    </row>
    <row r="60" spans="1:16" hidden="1">
      <c r="A60" s="3"/>
      <c r="B60" s="3"/>
      <c r="C60" s="1"/>
      <c r="D60" s="1"/>
      <c r="E60" s="1"/>
      <c r="F60" s="1"/>
      <c r="G60" s="1"/>
      <c r="H60" s="3"/>
      <c r="I60" s="3"/>
      <c r="J60" s="1"/>
      <c r="K60" s="1"/>
      <c r="L60" s="1"/>
      <c r="M60" s="1"/>
      <c r="N60" s="1"/>
      <c r="O60" s="197"/>
      <c r="P60" s="198"/>
    </row>
    <row r="61" spans="1:16" hidden="1">
      <c r="A61" s="3"/>
      <c r="B61" s="3"/>
      <c r="C61" s="1"/>
      <c r="D61" s="1"/>
      <c r="E61" s="1"/>
      <c r="F61" s="1"/>
      <c r="G61" s="1"/>
      <c r="H61" s="3"/>
      <c r="I61" s="3"/>
      <c r="J61" s="1"/>
      <c r="K61" s="1"/>
      <c r="L61" s="1"/>
      <c r="M61" s="1"/>
      <c r="N61" s="1"/>
      <c r="O61" s="197"/>
      <c r="P61" s="198"/>
    </row>
    <row r="62" spans="1:16" hidden="1">
      <c r="A62" s="3"/>
      <c r="B62" s="3"/>
      <c r="C62" s="1"/>
      <c r="D62" s="1"/>
      <c r="E62" s="1"/>
      <c r="F62" s="1"/>
      <c r="G62" s="1"/>
      <c r="H62" s="3"/>
      <c r="I62" s="3"/>
      <c r="J62" s="1"/>
      <c r="K62" s="1"/>
      <c r="L62" s="1"/>
      <c r="M62" s="1"/>
      <c r="N62" s="1"/>
      <c r="O62" s="197"/>
      <c r="P62" s="198"/>
    </row>
    <row r="63" spans="1:16" hidden="1">
      <c r="A63" s="3"/>
      <c r="B63" s="3"/>
      <c r="C63" s="1"/>
      <c r="D63" s="1"/>
      <c r="E63" s="1"/>
      <c r="F63" s="1"/>
      <c r="G63" s="1"/>
      <c r="H63" s="3"/>
      <c r="I63" s="3"/>
      <c r="J63" s="1"/>
      <c r="K63" s="1"/>
      <c r="L63" s="1"/>
      <c r="M63" s="1"/>
      <c r="N63" s="1"/>
      <c r="O63" s="197"/>
      <c r="P63" s="198"/>
    </row>
    <row r="64" spans="1:16" hidden="1">
      <c r="A64" s="3"/>
      <c r="B64" s="3"/>
      <c r="C64" s="1"/>
      <c r="D64" s="1"/>
      <c r="E64" s="1"/>
      <c r="F64" s="1"/>
      <c r="G64" s="1"/>
      <c r="H64" s="3"/>
      <c r="I64" s="3"/>
      <c r="J64" s="1"/>
      <c r="K64" s="1"/>
      <c r="L64" s="1"/>
      <c r="M64" s="1"/>
      <c r="N64" s="1"/>
      <c r="O64" s="197"/>
      <c r="P64" s="198"/>
    </row>
    <row r="65" spans="1:16" ht="6" customHeight="1"/>
    <row r="66" spans="1:16">
      <c r="A66" s="4" t="s">
        <v>36</v>
      </c>
    </row>
    <row r="67" spans="1:16">
      <c r="A67" s="4" t="s">
        <v>32</v>
      </c>
      <c r="C67" s="381"/>
      <c r="D67" s="381"/>
    </row>
    <row r="68" spans="1:16" ht="6" customHeight="1">
      <c r="D68" s="194"/>
    </row>
    <row r="69" spans="1:16">
      <c r="A69" s="4" t="s">
        <v>42</v>
      </c>
    </row>
    <row r="70" spans="1:16" ht="8.25" customHeight="1"/>
    <row r="71" spans="1:16">
      <c r="A71" s="369" t="s">
        <v>47</v>
      </c>
      <c r="B71" s="369"/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</row>
    <row r="72" spans="1:16">
      <c r="A72" s="287" t="s">
        <v>43</v>
      </c>
      <c r="B72" s="369" t="s">
        <v>44</v>
      </c>
      <c r="C72" s="369"/>
      <c r="D72" s="369"/>
      <c r="E72" s="287" t="s">
        <v>45</v>
      </c>
      <c r="F72" s="287" t="s">
        <v>46</v>
      </c>
      <c r="G72" s="369" t="s">
        <v>29</v>
      </c>
      <c r="H72" s="369"/>
      <c r="I72" s="369"/>
      <c r="J72" s="369"/>
      <c r="K72" s="369"/>
      <c r="L72" s="369"/>
      <c r="M72" s="369"/>
      <c r="N72" s="369"/>
      <c r="O72" s="369"/>
      <c r="P72" s="369"/>
    </row>
    <row r="73" spans="1:16" s="201" customFormat="1" ht="7.5">
      <c r="A73" s="288">
        <v>1</v>
      </c>
      <c r="B73" s="414">
        <v>2</v>
      </c>
      <c r="C73" s="414"/>
      <c r="D73" s="414"/>
      <c r="E73" s="288">
        <v>3</v>
      </c>
      <c r="F73" s="288">
        <v>4</v>
      </c>
      <c r="G73" s="414">
        <v>5</v>
      </c>
      <c r="H73" s="414"/>
      <c r="I73" s="414"/>
      <c r="J73" s="414"/>
      <c r="K73" s="414"/>
      <c r="L73" s="414"/>
      <c r="M73" s="414"/>
      <c r="N73" s="414"/>
      <c r="O73" s="414"/>
      <c r="P73" s="414"/>
    </row>
    <row r="74" spans="1:16" s="190" customFormat="1" ht="33" customHeight="1">
      <c r="A74" s="7" t="s">
        <v>275</v>
      </c>
      <c r="B74" s="392" t="s">
        <v>276</v>
      </c>
      <c r="C74" s="393"/>
      <c r="D74" s="394"/>
      <c r="E74" s="199">
        <v>42705</v>
      </c>
      <c r="F74" s="7">
        <v>222</v>
      </c>
      <c r="G74" s="423" t="s">
        <v>350</v>
      </c>
      <c r="H74" s="424"/>
      <c r="I74" s="424"/>
      <c r="J74" s="424"/>
      <c r="K74" s="424"/>
      <c r="L74" s="424"/>
      <c r="M74" s="424"/>
      <c r="N74" s="424"/>
      <c r="O74" s="424"/>
      <c r="P74" s="425"/>
    </row>
    <row r="75" spans="1:16" s="190" customFormat="1" ht="11.25">
      <c r="A75" s="8"/>
      <c r="B75" s="412"/>
      <c r="C75" s="412"/>
      <c r="D75" s="412"/>
      <c r="E75" s="200"/>
      <c r="F75" s="8"/>
      <c r="G75" s="407"/>
      <c r="H75" s="407"/>
      <c r="I75" s="407"/>
      <c r="J75" s="407"/>
      <c r="K75" s="407"/>
      <c r="L75" s="407"/>
      <c r="M75" s="407"/>
      <c r="N75" s="407"/>
      <c r="O75" s="407"/>
      <c r="P75" s="407"/>
    </row>
    <row r="76" spans="1:16" s="190" customFormat="1" ht="11.25" hidden="1">
      <c r="A76" s="8"/>
      <c r="B76" s="412"/>
      <c r="C76" s="412"/>
      <c r="D76" s="412"/>
      <c r="E76" s="200"/>
      <c r="F76" s="8"/>
      <c r="G76" s="415"/>
      <c r="H76" s="416"/>
      <c r="I76" s="416"/>
      <c r="J76" s="416"/>
      <c r="K76" s="416"/>
      <c r="L76" s="416"/>
      <c r="M76" s="416"/>
      <c r="N76" s="416"/>
      <c r="O76" s="416"/>
      <c r="P76" s="417"/>
    </row>
    <row r="77" spans="1:16" s="190" customFormat="1" ht="11.25" hidden="1">
      <c r="A77" s="8"/>
      <c r="B77" s="412"/>
      <c r="C77" s="412"/>
      <c r="D77" s="412"/>
      <c r="E77" s="8"/>
      <c r="F77" s="8"/>
      <c r="G77" s="407"/>
      <c r="H77" s="407"/>
      <c r="I77" s="407"/>
      <c r="J77" s="407"/>
      <c r="K77" s="407"/>
      <c r="L77" s="407"/>
      <c r="M77" s="407"/>
      <c r="N77" s="407"/>
      <c r="O77" s="407"/>
      <c r="P77" s="407"/>
    </row>
    <row r="78" spans="1:16" ht="9.75" customHeight="1"/>
    <row r="79" spans="1:16">
      <c r="A79" s="4" t="s">
        <v>48</v>
      </c>
    </row>
    <row r="80" spans="1:16" ht="4.5" customHeight="1"/>
    <row r="81" spans="1:16">
      <c r="A81" s="4" t="s">
        <v>49</v>
      </c>
    </row>
    <row r="82" spans="1:16" ht="42" customHeight="1">
      <c r="A82" s="418"/>
      <c r="B82" s="418"/>
      <c r="C82" s="418"/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</row>
    <row r="83" spans="1:16">
      <c r="A83" s="419" t="s">
        <v>50</v>
      </c>
      <c r="B83" s="419"/>
      <c r="C83" s="419"/>
      <c r="D83" s="419"/>
      <c r="E83" s="419"/>
      <c r="F83" s="419"/>
      <c r="G83" s="419"/>
      <c r="H83" s="419"/>
      <c r="I83" s="419"/>
      <c r="J83" s="419"/>
      <c r="K83" s="419"/>
      <c r="L83" s="419"/>
    </row>
    <row r="84" spans="1:16" ht="3.75" customHeight="1"/>
    <row r="85" spans="1:16">
      <c r="A85" s="4" t="s">
        <v>273</v>
      </c>
    </row>
    <row r="87" spans="1:16">
      <c r="A87" s="369" t="s">
        <v>52</v>
      </c>
      <c r="B87" s="369"/>
      <c r="C87" s="369"/>
      <c r="D87" s="412" t="s">
        <v>53</v>
      </c>
      <c r="E87" s="412"/>
      <c r="F87" s="412"/>
      <c r="G87" s="412"/>
      <c r="H87" s="369" t="s">
        <v>54</v>
      </c>
      <c r="I87" s="369"/>
      <c r="J87" s="369"/>
      <c r="K87" s="369"/>
    </row>
    <row r="88" spans="1:16" s="201" customFormat="1" ht="7.5">
      <c r="A88" s="414">
        <v>1</v>
      </c>
      <c r="B88" s="414"/>
      <c r="C88" s="414"/>
      <c r="D88" s="414">
        <v>2</v>
      </c>
      <c r="E88" s="414"/>
      <c r="F88" s="414"/>
      <c r="G88" s="414"/>
      <c r="H88" s="414">
        <v>3</v>
      </c>
      <c r="I88" s="414"/>
      <c r="J88" s="414"/>
      <c r="K88" s="414"/>
    </row>
    <row r="89" spans="1:16" s="188" customFormat="1" ht="12.75">
      <c r="A89" s="420" t="s">
        <v>283</v>
      </c>
      <c r="B89" s="421"/>
      <c r="C89" s="422"/>
      <c r="D89" s="420"/>
      <c r="E89" s="421"/>
      <c r="F89" s="421"/>
      <c r="G89" s="422"/>
      <c r="H89" s="420"/>
      <c r="I89" s="421"/>
      <c r="J89" s="421"/>
      <c r="K89" s="422"/>
    </row>
    <row r="90" spans="1:16" hidden="1">
      <c r="A90" s="383"/>
      <c r="B90" s="371"/>
      <c r="C90" s="384"/>
      <c r="D90" s="383"/>
      <c r="E90" s="371"/>
      <c r="F90" s="371"/>
      <c r="G90" s="384"/>
      <c r="H90" s="383"/>
      <c r="I90" s="371"/>
      <c r="J90" s="371"/>
      <c r="K90" s="384"/>
    </row>
    <row r="91" spans="1:16" hidden="1">
      <c r="A91" s="383"/>
      <c r="B91" s="371"/>
      <c r="C91" s="384"/>
      <c r="D91" s="383"/>
      <c r="E91" s="371"/>
      <c r="F91" s="371"/>
      <c r="G91" s="384"/>
      <c r="H91" s="383"/>
      <c r="I91" s="371"/>
      <c r="J91" s="371"/>
      <c r="K91" s="384"/>
    </row>
    <row r="92" spans="1:16">
      <c r="A92" s="373" t="s">
        <v>279</v>
      </c>
      <c r="B92" s="373"/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</row>
    <row r="93" spans="1:16" ht="7.5" customHeight="1"/>
    <row r="94" spans="1:16">
      <c r="A94" s="4" t="s">
        <v>12</v>
      </c>
      <c r="E94" s="368" t="s">
        <v>85</v>
      </c>
      <c r="F94" s="368"/>
      <c r="G94" s="368"/>
      <c r="H94" s="368"/>
      <c r="I94" s="368"/>
      <c r="J94" s="368"/>
      <c r="K94" s="368"/>
      <c r="L94" s="368"/>
      <c r="M94" s="203"/>
      <c r="N94" s="203" t="s">
        <v>14</v>
      </c>
      <c r="O94" s="369" t="s">
        <v>97</v>
      </c>
      <c r="P94" s="369"/>
    </row>
    <row r="95" spans="1:16">
      <c r="A95" s="380" t="s">
        <v>96</v>
      </c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203"/>
      <c r="N95" s="203" t="s">
        <v>15</v>
      </c>
      <c r="O95" s="369"/>
      <c r="P95" s="369"/>
    </row>
    <row r="96" spans="1:16">
      <c r="A96" s="4" t="s">
        <v>13</v>
      </c>
      <c r="M96" s="203"/>
      <c r="N96" s="203" t="s">
        <v>16</v>
      </c>
      <c r="O96" s="369"/>
      <c r="P96" s="369"/>
    </row>
    <row r="97" spans="1:16">
      <c r="A97" s="380" t="s">
        <v>86</v>
      </c>
      <c r="B97" s="380"/>
      <c r="C97" s="380"/>
      <c r="D97" s="380"/>
      <c r="E97" s="380"/>
      <c r="F97" s="380"/>
      <c r="G97" s="380"/>
      <c r="H97" s="380"/>
      <c r="I97" s="380"/>
      <c r="J97" s="380"/>
      <c r="K97" s="380"/>
      <c r="L97" s="380"/>
      <c r="M97" s="380"/>
      <c r="N97" s="380"/>
    </row>
    <row r="98" spans="1:16" ht="4.5" customHeight="1">
      <c r="A98" s="295"/>
      <c r="B98" s="295"/>
      <c r="C98" s="295"/>
      <c r="D98" s="295"/>
      <c r="E98" s="295"/>
      <c r="F98" s="295"/>
      <c r="G98" s="295"/>
      <c r="H98" s="295"/>
      <c r="I98" s="295"/>
      <c r="J98" s="295"/>
      <c r="K98" s="295"/>
      <c r="L98" s="295"/>
      <c r="M98" s="295"/>
      <c r="N98" s="295"/>
    </row>
    <row r="99" spans="1:16">
      <c r="A99" s="4" t="s">
        <v>17</v>
      </c>
    </row>
    <row r="100" spans="1:16" ht="5.25" customHeight="1"/>
    <row r="101" spans="1:16">
      <c r="A101" s="4" t="s">
        <v>20</v>
      </c>
    </row>
    <row r="102" spans="1:16" ht="7.5" customHeight="1"/>
    <row r="103" spans="1:16" ht="33.75" customHeight="1">
      <c r="A103" s="382" t="s">
        <v>21</v>
      </c>
      <c r="B103" s="382"/>
      <c r="C103" s="392" t="s">
        <v>22</v>
      </c>
      <c r="D103" s="393"/>
      <c r="E103" s="394"/>
      <c r="F103" s="426" t="s">
        <v>24</v>
      </c>
      <c r="G103" s="426"/>
      <c r="H103" s="382" t="s">
        <v>25</v>
      </c>
      <c r="I103" s="382"/>
      <c r="J103" s="382"/>
      <c r="K103" s="382"/>
      <c r="L103" s="382"/>
      <c r="M103" s="392" t="s">
        <v>26</v>
      </c>
      <c r="N103" s="393"/>
      <c r="O103" s="394"/>
      <c r="P103" s="291"/>
    </row>
    <row r="104" spans="1:16" s="190" customFormat="1" ht="24.75" customHeight="1">
      <c r="A104" s="382"/>
      <c r="B104" s="382"/>
      <c r="C104" s="395" t="s">
        <v>23</v>
      </c>
      <c r="D104" s="395" t="s">
        <v>23</v>
      </c>
      <c r="E104" s="395" t="s">
        <v>23</v>
      </c>
      <c r="F104" s="395" t="s">
        <v>23</v>
      </c>
      <c r="G104" s="395" t="s">
        <v>23</v>
      </c>
      <c r="H104" s="382" t="s">
        <v>30</v>
      </c>
      <c r="I104" s="382"/>
      <c r="J104" s="382" t="s">
        <v>27</v>
      </c>
      <c r="K104" s="382"/>
      <c r="L104" s="382"/>
      <c r="M104" s="385" t="s">
        <v>347</v>
      </c>
      <c r="N104" s="385" t="s">
        <v>348</v>
      </c>
      <c r="O104" s="385" t="s">
        <v>349</v>
      </c>
      <c r="P104" s="189"/>
    </row>
    <row r="105" spans="1:16" s="190" customFormat="1" ht="16.5" customHeight="1">
      <c r="A105" s="382"/>
      <c r="B105" s="382"/>
      <c r="C105" s="395"/>
      <c r="D105" s="395"/>
      <c r="E105" s="395"/>
      <c r="F105" s="395"/>
      <c r="G105" s="395"/>
      <c r="H105" s="382"/>
      <c r="I105" s="382"/>
      <c r="J105" s="396" t="s">
        <v>29</v>
      </c>
      <c r="K105" s="397"/>
      <c r="L105" s="7" t="s">
        <v>28</v>
      </c>
      <c r="M105" s="386"/>
      <c r="N105" s="386"/>
      <c r="O105" s="386"/>
      <c r="P105" s="189"/>
    </row>
    <row r="106" spans="1:16" s="201" customFormat="1" ht="7.5">
      <c r="A106" s="387">
        <v>1</v>
      </c>
      <c r="B106" s="387"/>
      <c r="C106" s="293">
        <v>2</v>
      </c>
      <c r="D106" s="293">
        <v>3</v>
      </c>
      <c r="E106" s="293">
        <v>4</v>
      </c>
      <c r="F106" s="293">
        <v>5</v>
      </c>
      <c r="G106" s="293">
        <v>6</v>
      </c>
      <c r="H106" s="387">
        <v>7</v>
      </c>
      <c r="I106" s="387"/>
      <c r="J106" s="388">
        <v>8</v>
      </c>
      <c r="K106" s="389"/>
      <c r="L106" s="293">
        <v>9</v>
      </c>
      <c r="M106" s="293">
        <v>10</v>
      </c>
      <c r="N106" s="293">
        <v>11</v>
      </c>
      <c r="O106" s="293">
        <v>12</v>
      </c>
      <c r="P106" s="202"/>
    </row>
    <row r="107" spans="1:16" ht="30" customHeight="1">
      <c r="A107" s="390" t="s">
        <v>357</v>
      </c>
      <c r="B107" s="391"/>
      <c r="C107" s="8"/>
      <c r="D107" s="8"/>
      <c r="E107" s="8"/>
      <c r="F107" s="8" t="s">
        <v>87</v>
      </c>
      <c r="G107" s="8"/>
      <c r="H107" s="399" t="s">
        <v>94</v>
      </c>
      <c r="I107" s="400"/>
      <c r="J107" s="401" t="s">
        <v>95</v>
      </c>
      <c r="K107" s="402"/>
      <c r="L107" s="191">
        <v>744</v>
      </c>
      <c r="M107" s="314" t="s">
        <v>274</v>
      </c>
      <c r="N107" s="314" t="s">
        <v>274</v>
      </c>
      <c r="O107" s="314" t="s">
        <v>274</v>
      </c>
      <c r="P107" s="193"/>
    </row>
    <row r="108" spans="1:16" ht="30" customHeight="1">
      <c r="A108" s="390" t="s">
        <v>358</v>
      </c>
      <c r="B108" s="391"/>
      <c r="C108" s="8"/>
      <c r="D108" s="8"/>
      <c r="E108" s="8"/>
      <c r="F108" s="10" t="s">
        <v>88</v>
      </c>
      <c r="G108" s="8"/>
      <c r="H108" s="399" t="s">
        <v>94</v>
      </c>
      <c r="I108" s="400"/>
      <c r="J108" s="401" t="s">
        <v>95</v>
      </c>
      <c r="K108" s="402"/>
      <c r="L108" s="191">
        <v>744</v>
      </c>
      <c r="M108" s="314" t="s">
        <v>274</v>
      </c>
      <c r="N108" s="314" t="s">
        <v>274</v>
      </c>
      <c r="O108" s="314" t="s">
        <v>274</v>
      </c>
      <c r="P108" s="193"/>
    </row>
    <row r="109" spans="1:16" hidden="1">
      <c r="A109" s="383"/>
      <c r="B109" s="384"/>
      <c r="C109" s="1"/>
      <c r="D109" s="1"/>
      <c r="E109" s="1"/>
      <c r="F109" s="1"/>
      <c r="G109" s="1"/>
      <c r="H109" s="383"/>
      <c r="I109" s="384"/>
      <c r="J109" s="383"/>
      <c r="K109" s="384"/>
      <c r="L109" s="1"/>
      <c r="M109" s="1"/>
      <c r="N109" s="1"/>
      <c r="O109" s="383"/>
      <c r="P109" s="384"/>
    </row>
    <row r="110" spans="1:16" hidden="1">
      <c r="A110" s="383"/>
      <c r="B110" s="384"/>
      <c r="C110" s="1"/>
      <c r="D110" s="1"/>
      <c r="E110" s="1"/>
      <c r="F110" s="1"/>
      <c r="G110" s="1"/>
      <c r="H110" s="383"/>
      <c r="I110" s="384"/>
      <c r="J110" s="383"/>
      <c r="K110" s="384"/>
      <c r="L110" s="1"/>
      <c r="M110" s="1"/>
      <c r="N110" s="1"/>
      <c r="O110" s="383"/>
      <c r="P110" s="384"/>
    </row>
    <row r="111" spans="1:16" hidden="1">
      <c r="A111" s="383"/>
      <c r="B111" s="384"/>
      <c r="C111" s="1"/>
      <c r="D111" s="1"/>
      <c r="E111" s="1"/>
      <c r="F111" s="1"/>
      <c r="G111" s="1"/>
      <c r="H111" s="383"/>
      <c r="I111" s="384"/>
      <c r="J111" s="383"/>
      <c r="K111" s="384"/>
      <c r="L111" s="1"/>
      <c r="M111" s="1"/>
      <c r="N111" s="1"/>
      <c r="O111" s="383"/>
      <c r="P111" s="384"/>
    </row>
    <row r="112" spans="1:16" hidden="1">
      <c r="A112" s="383"/>
      <c r="B112" s="384"/>
      <c r="C112" s="1"/>
      <c r="D112" s="1"/>
      <c r="E112" s="1"/>
      <c r="F112" s="1"/>
      <c r="G112" s="1"/>
      <c r="H112" s="383"/>
      <c r="I112" s="384"/>
      <c r="J112" s="383"/>
      <c r="K112" s="384"/>
      <c r="L112" s="1"/>
      <c r="M112" s="1"/>
      <c r="N112" s="1"/>
      <c r="O112" s="383"/>
      <c r="P112" s="384"/>
    </row>
    <row r="113" spans="1:16" hidden="1">
      <c r="A113" s="383"/>
      <c r="B113" s="384"/>
      <c r="C113" s="1"/>
      <c r="D113" s="1"/>
      <c r="E113" s="1"/>
      <c r="F113" s="1"/>
      <c r="G113" s="1"/>
      <c r="H113" s="383"/>
      <c r="I113" s="384"/>
      <c r="J113" s="383"/>
      <c r="K113" s="384"/>
      <c r="L113" s="1"/>
      <c r="M113" s="1"/>
      <c r="N113" s="1"/>
      <c r="O113" s="383"/>
      <c r="P113" s="384"/>
    </row>
    <row r="114" spans="1:16" hidden="1">
      <c r="A114" s="383"/>
      <c r="B114" s="384"/>
      <c r="C114" s="1"/>
      <c r="D114" s="1"/>
      <c r="E114" s="1"/>
      <c r="F114" s="1"/>
      <c r="G114" s="1"/>
      <c r="H114" s="383"/>
      <c r="I114" s="384"/>
      <c r="J114" s="383"/>
      <c r="K114" s="384"/>
      <c r="L114" s="1"/>
      <c r="M114" s="1"/>
      <c r="N114" s="1"/>
      <c r="O114" s="383"/>
      <c r="P114" s="384"/>
    </row>
    <row r="115" spans="1:16" ht="7.5" customHeight="1"/>
    <row r="116" spans="1:16">
      <c r="A116" s="4" t="s">
        <v>31</v>
      </c>
    </row>
    <row r="117" spans="1:16">
      <c r="A117" s="4" t="s">
        <v>32</v>
      </c>
      <c r="C117" s="369"/>
      <c r="D117" s="369"/>
    </row>
    <row r="118" spans="1:16" ht="3" customHeight="1">
      <c r="D118" s="194"/>
    </row>
    <row r="119" spans="1:16">
      <c r="A119" s="4" t="s">
        <v>41</v>
      </c>
    </row>
    <row r="120" spans="1:16" ht="5.25" customHeight="1"/>
    <row r="121" spans="1:16" ht="30.75" customHeight="1">
      <c r="A121" s="405" t="s">
        <v>21</v>
      </c>
      <c r="B121" s="408"/>
      <c r="C121" s="392" t="s">
        <v>22</v>
      </c>
      <c r="D121" s="393"/>
      <c r="E121" s="394"/>
      <c r="F121" s="426" t="s">
        <v>24</v>
      </c>
      <c r="G121" s="426"/>
      <c r="H121" s="382" t="s">
        <v>33</v>
      </c>
      <c r="I121" s="382"/>
      <c r="J121" s="382"/>
      <c r="K121" s="382" t="s">
        <v>34</v>
      </c>
      <c r="L121" s="382"/>
      <c r="M121" s="382"/>
      <c r="N121" s="393" t="s">
        <v>35</v>
      </c>
      <c r="O121" s="393"/>
      <c r="P121" s="394"/>
    </row>
    <row r="122" spans="1:16" ht="42" customHeight="1">
      <c r="A122" s="409"/>
      <c r="B122" s="410"/>
      <c r="C122" s="395" t="s">
        <v>23</v>
      </c>
      <c r="D122" s="395" t="s">
        <v>23</v>
      </c>
      <c r="E122" s="395" t="s">
        <v>23</v>
      </c>
      <c r="F122" s="395" t="s">
        <v>23</v>
      </c>
      <c r="G122" s="395" t="s">
        <v>23</v>
      </c>
      <c r="H122" s="382" t="s">
        <v>30</v>
      </c>
      <c r="I122" s="382" t="s">
        <v>27</v>
      </c>
      <c r="J122" s="382"/>
      <c r="K122" s="403" t="s">
        <v>347</v>
      </c>
      <c r="L122" s="403" t="s">
        <v>348</v>
      </c>
      <c r="M122" s="405" t="s">
        <v>349</v>
      </c>
      <c r="N122" s="403" t="s">
        <v>347</v>
      </c>
      <c r="O122" s="403" t="s">
        <v>348</v>
      </c>
      <c r="P122" s="405" t="s">
        <v>349</v>
      </c>
    </row>
    <row r="123" spans="1:16" ht="13.5" customHeight="1">
      <c r="A123" s="406"/>
      <c r="B123" s="411"/>
      <c r="C123" s="395"/>
      <c r="D123" s="395"/>
      <c r="E123" s="395"/>
      <c r="F123" s="395"/>
      <c r="G123" s="395"/>
      <c r="H123" s="382"/>
      <c r="I123" s="292" t="s">
        <v>37</v>
      </c>
      <c r="J123" s="7" t="s">
        <v>28</v>
      </c>
      <c r="K123" s="404"/>
      <c r="L123" s="404"/>
      <c r="M123" s="406"/>
      <c r="N123" s="404"/>
      <c r="O123" s="404"/>
      <c r="P123" s="406"/>
    </row>
    <row r="124" spans="1:16" s="201" customFormat="1" ht="7.5">
      <c r="A124" s="427">
        <v>1</v>
      </c>
      <c r="B124" s="428"/>
      <c r="C124" s="293">
        <v>2</v>
      </c>
      <c r="D124" s="293">
        <v>3</v>
      </c>
      <c r="E124" s="293">
        <v>4</v>
      </c>
      <c r="F124" s="293">
        <v>5</v>
      </c>
      <c r="G124" s="293">
        <v>6</v>
      </c>
      <c r="H124" s="293">
        <v>7</v>
      </c>
      <c r="I124" s="293">
        <v>8</v>
      </c>
      <c r="J124" s="293">
        <v>9</v>
      </c>
      <c r="K124" s="293">
        <v>10</v>
      </c>
      <c r="L124" s="293">
        <v>11</v>
      </c>
      <c r="M124" s="293">
        <v>12</v>
      </c>
      <c r="N124" s="293">
        <v>13</v>
      </c>
      <c r="O124" s="293">
        <v>14</v>
      </c>
      <c r="P124" s="293">
        <v>15</v>
      </c>
    </row>
    <row r="125" spans="1:16" ht="25.5" customHeight="1">
      <c r="A125" s="390" t="str">
        <f>A107</f>
        <v xml:space="preserve">567010000131001520311791000301000101004101101 </v>
      </c>
      <c r="B125" s="391"/>
      <c r="C125" s="8"/>
      <c r="D125" s="8"/>
      <c r="E125" s="8"/>
      <c r="F125" s="8" t="s">
        <v>87</v>
      </c>
      <c r="G125" s="8"/>
      <c r="H125" s="10" t="s">
        <v>89</v>
      </c>
      <c r="I125" s="9" t="s">
        <v>90</v>
      </c>
      <c r="J125" s="8">
        <v>792</v>
      </c>
      <c r="K125" s="8">
        <f ca="1">'проверка 2017'!L4+'проверка 2017'!K4</f>
        <v>269</v>
      </c>
      <c r="L125" s="8">
        <f ca="1">'проверка 2018'!K4+'проверка 2018'!L4</f>
        <v>298</v>
      </c>
      <c r="M125" s="8">
        <f ca="1">'проверка 2019'!K4+'проверка 2019'!L4</f>
        <v>305</v>
      </c>
      <c r="N125" s="8">
        <f ca="1">'проверка 2017'!K33</f>
        <v>39176.230000000003</v>
      </c>
      <c r="O125" s="8">
        <f ca="1">'проверка 2018'!K29</f>
        <v>38367.03</v>
      </c>
      <c r="P125" s="8">
        <f ca="1">'проверка 2019'!K29</f>
        <v>38892.730000000003</v>
      </c>
    </row>
    <row r="126" spans="1:16" ht="23.25" customHeight="1">
      <c r="A126" s="390" t="str">
        <f>A108</f>
        <v xml:space="preserve">567010000131001520311791000301000105000101101 </v>
      </c>
      <c r="B126" s="391"/>
      <c r="C126" s="8"/>
      <c r="D126" s="8"/>
      <c r="E126" s="8"/>
      <c r="F126" s="10" t="s">
        <v>88</v>
      </c>
      <c r="G126" s="8"/>
      <c r="H126" s="10" t="s">
        <v>89</v>
      </c>
      <c r="I126" s="9" t="s">
        <v>90</v>
      </c>
      <c r="J126" s="8">
        <v>792</v>
      </c>
      <c r="K126" s="8"/>
      <c r="L126" s="8"/>
      <c r="M126" s="8"/>
      <c r="N126" s="8"/>
      <c r="O126" s="9"/>
      <c r="P126" s="9"/>
    </row>
    <row r="127" spans="1:16" hidden="1">
      <c r="A127" s="9"/>
      <c r="B127" s="9"/>
      <c r="C127" s="8"/>
      <c r="D127" s="8"/>
      <c r="E127" s="8"/>
      <c r="F127" s="8"/>
      <c r="G127" s="8"/>
      <c r="H127" s="9"/>
      <c r="I127" s="9"/>
      <c r="J127" s="8"/>
      <c r="K127" s="8"/>
      <c r="L127" s="8"/>
      <c r="M127" s="8"/>
      <c r="N127" s="8"/>
      <c r="O127" s="195"/>
      <c r="P127" s="196"/>
    </row>
    <row r="128" spans="1:16" hidden="1">
      <c r="A128" s="3"/>
      <c r="B128" s="3"/>
      <c r="C128" s="1"/>
      <c r="D128" s="1"/>
      <c r="E128" s="1"/>
      <c r="F128" s="1"/>
      <c r="G128" s="1"/>
      <c r="H128" s="3"/>
      <c r="I128" s="3"/>
      <c r="J128" s="1"/>
      <c r="K128" s="1"/>
      <c r="L128" s="1"/>
      <c r="M128" s="1"/>
      <c r="N128" s="1"/>
      <c r="O128" s="197"/>
      <c r="P128" s="198"/>
    </row>
    <row r="129" spans="1:16" hidden="1">
      <c r="A129" s="3"/>
      <c r="B129" s="3"/>
      <c r="C129" s="1"/>
      <c r="D129" s="1"/>
      <c r="E129" s="1"/>
      <c r="F129" s="1"/>
      <c r="G129" s="1"/>
      <c r="H129" s="3"/>
      <c r="I129" s="3"/>
      <c r="J129" s="1"/>
      <c r="K129" s="1"/>
      <c r="L129" s="1"/>
      <c r="M129" s="1"/>
      <c r="N129" s="1"/>
      <c r="O129" s="197"/>
      <c r="P129" s="198"/>
    </row>
    <row r="130" spans="1:16" hidden="1">
      <c r="A130" s="3"/>
      <c r="B130" s="3"/>
      <c r="C130" s="1"/>
      <c r="D130" s="1"/>
      <c r="E130" s="1"/>
      <c r="F130" s="1"/>
      <c r="G130" s="1"/>
      <c r="H130" s="3"/>
      <c r="I130" s="3"/>
      <c r="J130" s="1"/>
      <c r="K130" s="1"/>
      <c r="L130" s="1"/>
      <c r="M130" s="1"/>
      <c r="N130" s="1"/>
      <c r="O130" s="197"/>
      <c r="P130" s="198"/>
    </row>
    <row r="131" spans="1:16" hidden="1">
      <c r="A131" s="3"/>
      <c r="B131" s="3"/>
      <c r="C131" s="1"/>
      <c r="D131" s="1"/>
      <c r="E131" s="1"/>
      <c r="F131" s="1"/>
      <c r="G131" s="1"/>
      <c r="H131" s="3"/>
      <c r="I131" s="3"/>
      <c r="J131" s="1"/>
      <c r="K131" s="1"/>
      <c r="L131" s="1"/>
      <c r="M131" s="1"/>
      <c r="N131" s="1"/>
      <c r="O131" s="197"/>
      <c r="P131" s="198"/>
    </row>
    <row r="132" spans="1:16" hidden="1">
      <c r="A132" s="3"/>
      <c r="B132" s="3"/>
      <c r="C132" s="1"/>
      <c r="D132" s="1"/>
      <c r="E132" s="1"/>
      <c r="F132" s="1"/>
      <c r="G132" s="1"/>
      <c r="H132" s="3"/>
      <c r="I132" s="3"/>
      <c r="J132" s="1"/>
      <c r="K132" s="1"/>
      <c r="L132" s="1"/>
      <c r="M132" s="1"/>
      <c r="N132" s="1"/>
      <c r="O132" s="197"/>
      <c r="P132" s="198"/>
    </row>
    <row r="133" spans="1:16" ht="6" customHeight="1"/>
    <row r="134" spans="1:16">
      <c r="A134" s="4" t="s">
        <v>36</v>
      </c>
    </row>
    <row r="135" spans="1:16">
      <c r="A135" s="4" t="s">
        <v>32</v>
      </c>
      <c r="C135" s="369"/>
      <c r="D135" s="369"/>
    </row>
    <row r="136" spans="1:16" ht="2.25" customHeight="1">
      <c r="D136" s="194"/>
    </row>
    <row r="137" spans="1:16">
      <c r="A137" s="4" t="s">
        <v>42</v>
      </c>
    </row>
    <row r="138" spans="1:16" ht="3" customHeight="1"/>
    <row r="139" spans="1:16">
      <c r="A139" s="369" t="s">
        <v>47</v>
      </c>
      <c r="B139" s="369"/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</row>
    <row r="140" spans="1:16">
      <c r="A140" s="287" t="s">
        <v>43</v>
      </c>
      <c r="B140" s="369" t="s">
        <v>44</v>
      </c>
      <c r="C140" s="369"/>
      <c r="D140" s="369"/>
      <c r="E140" s="287" t="s">
        <v>45</v>
      </c>
      <c r="F140" s="287" t="s">
        <v>46</v>
      </c>
      <c r="G140" s="369" t="s">
        <v>29</v>
      </c>
      <c r="H140" s="369"/>
      <c r="I140" s="369"/>
      <c r="J140" s="369"/>
      <c r="K140" s="369"/>
      <c r="L140" s="369"/>
      <c r="M140" s="369"/>
      <c r="N140" s="369"/>
      <c r="O140" s="369"/>
      <c r="P140" s="369"/>
    </row>
    <row r="141" spans="1:16" s="201" customFormat="1" ht="7.5">
      <c r="A141" s="288">
        <v>1</v>
      </c>
      <c r="B141" s="414">
        <v>2</v>
      </c>
      <c r="C141" s="414"/>
      <c r="D141" s="414"/>
      <c r="E141" s="288">
        <v>3</v>
      </c>
      <c r="F141" s="288">
        <v>4</v>
      </c>
      <c r="G141" s="414">
        <v>5</v>
      </c>
      <c r="H141" s="414"/>
      <c r="I141" s="414"/>
      <c r="J141" s="414"/>
      <c r="K141" s="414"/>
      <c r="L141" s="414"/>
      <c r="M141" s="414"/>
      <c r="N141" s="414"/>
      <c r="O141" s="414"/>
      <c r="P141" s="414"/>
    </row>
    <row r="142" spans="1:16" s="190" customFormat="1" ht="36" customHeight="1">
      <c r="A142" s="7" t="s">
        <v>275</v>
      </c>
      <c r="B142" s="392" t="s">
        <v>276</v>
      </c>
      <c r="C142" s="393"/>
      <c r="D142" s="394"/>
      <c r="E142" s="199">
        <v>42705</v>
      </c>
      <c r="F142" s="7">
        <v>222</v>
      </c>
      <c r="G142" s="423" t="s">
        <v>350</v>
      </c>
      <c r="H142" s="424"/>
      <c r="I142" s="424"/>
      <c r="J142" s="424"/>
      <c r="K142" s="424"/>
      <c r="L142" s="424"/>
      <c r="M142" s="424"/>
      <c r="N142" s="424"/>
      <c r="O142" s="424"/>
      <c r="P142" s="425"/>
    </row>
    <row r="143" spans="1:16" s="190" customFormat="1" ht="11.25" hidden="1">
      <c r="A143" s="8"/>
      <c r="B143" s="412"/>
      <c r="C143" s="412"/>
      <c r="D143" s="412"/>
      <c r="E143" s="200"/>
      <c r="F143" s="8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</row>
    <row r="144" spans="1:16" s="190" customFormat="1" ht="11.25" hidden="1">
      <c r="A144" s="8"/>
      <c r="B144" s="412"/>
      <c r="C144" s="412"/>
      <c r="D144" s="412"/>
      <c r="E144" s="200"/>
      <c r="F144" s="8"/>
      <c r="G144" s="415"/>
      <c r="H144" s="416"/>
      <c r="I144" s="416"/>
      <c r="J144" s="416"/>
      <c r="K144" s="416"/>
      <c r="L144" s="416"/>
      <c r="M144" s="416"/>
      <c r="N144" s="416"/>
      <c r="O144" s="416"/>
      <c r="P144" s="417"/>
    </row>
    <row r="145" spans="1:16" s="190" customFormat="1" ht="11.25" hidden="1">
      <c r="A145" s="8"/>
      <c r="B145" s="412"/>
      <c r="C145" s="412"/>
      <c r="D145" s="412"/>
      <c r="E145" s="8"/>
      <c r="F145" s="8"/>
      <c r="G145" s="407"/>
      <c r="H145" s="407"/>
      <c r="I145" s="407"/>
      <c r="J145" s="407"/>
      <c r="K145" s="407"/>
      <c r="L145" s="407"/>
      <c r="M145" s="407"/>
      <c r="N145" s="407"/>
      <c r="O145" s="407"/>
      <c r="P145" s="407"/>
    </row>
    <row r="146" spans="1:16" ht="9.75" hidden="1" customHeight="1"/>
    <row r="147" spans="1:16">
      <c r="A147" s="4" t="s">
        <v>48</v>
      </c>
    </row>
    <row r="148" spans="1:16" ht="8.25" customHeight="1"/>
    <row r="149" spans="1:16">
      <c r="A149" s="4" t="s">
        <v>49</v>
      </c>
    </row>
    <row r="150" spans="1:16" ht="44.25" customHeight="1">
      <c r="A150" s="418"/>
      <c r="B150" s="418"/>
      <c r="C150" s="418"/>
      <c r="D150" s="418"/>
      <c r="E150" s="418"/>
      <c r="F150" s="418"/>
      <c r="G150" s="418"/>
      <c r="H150" s="418"/>
      <c r="I150" s="418"/>
      <c r="J150" s="418"/>
      <c r="K150" s="418"/>
      <c r="L150" s="418"/>
      <c r="M150" s="418"/>
      <c r="N150" s="418"/>
      <c r="O150" s="418"/>
      <c r="P150" s="418"/>
    </row>
    <row r="151" spans="1:16">
      <c r="A151" s="419" t="s">
        <v>50</v>
      </c>
      <c r="B151" s="419"/>
      <c r="C151" s="419"/>
      <c r="D151" s="419"/>
      <c r="E151" s="419"/>
      <c r="F151" s="419"/>
      <c r="G151" s="419"/>
      <c r="H151" s="419"/>
      <c r="I151" s="419"/>
      <c r="J151" s="419"/>
      <c r="K151" s="419"/>
      <c r="L151" s="419"/>
    </row>
    <row r="152" spans="1:16" ht="3.75" customHeight="1"/>
    <row r="153" spans="1:16">
      <c r="A153" s="4" t="s">
        <v>51</v>
      </c>
    </row>
    <row r="155" spans="1:16">
      <c r="A155" s="369" t="s">
        <v>52</v>
      </c>
      <c r="B155" s="369"/>
      <c r="C155" s="369"/>
      <c r="D155" s="369" t="s">
        <v>53</v>
      </c>
      <c r="E155" s="369"/>
      <c r="F155" s="369"/>
      <c r="G155" s="369"/>
      <c r="H155" s="369" t="s">
        <v>54</v>
      </c>
      <c r="I155" s="369"/>
      <c r="J155" s="369"/>
      <c r="K155" s="369"/>
    </row>
    <row r="156" spans="1:16" s="201" customFormat="1" ht="7.5">
      <c r="A156" s="414">
        <v>1</v>
      </c>
      <c r="B156" s="414"/>
      <c r="C156" s="414"/>
      <c r="D156" s="414">
        <v>2</v>
      </c>
      <c r="E156" s="414"/>
      <c r="F156" s="414"/>
      <c r="G156" s="414"/>
      <c r="H156" s="414">
        <v>3</v>
      </c>
      <c r="I156" s="414"/>
      <c r="J156" s="414"/>
      <c r="K156" s="414"/>
    </row>
    <row r="157" spans="1:16">
      <c r="A157" s="420" t="s">
        <v>283</v>
      </c>
      <c r="B157" s="421"/>
      <c r="C157" s="422"/>
      <c r="D157" s="383"/>
      <c r="E157" s="371"/>
      <c r="F157" s="371"/>
      <c r="G157" s="384"/>
      <c r="H157" s="383"/>
      <c r="I157" s="371"/>
      <c r="J157" s="371"/>
      <c r="K157" s="384"/>
    </row>
    <row r="158" spans="1:16" hidden="1">
      <c r="A158" s="383"/>
      <c r="B158" s="371"/>
      <c r="C158" s="384"/>
      <c r="D158" s="383"/>
      <c r="E158" s="371"/>
      <c r="F158" s="371"/>
      <c r="G158" s="384"/>
      <c r="H158" s="383"/>
      <c r="I158" s="371"/>
      <c r="J158" s="371"/>
      <c r="K158" s="384"/>
    </row>
    <row r="159" spans="1:16" hidden="1">
      <c r="A159" s="383"/>
      <c r="B159" s="371"/>
      <c r="C159" s="384"/>
      <c r="D159" s="383"/>
      <c r="E159" s="371"/>
      <c r="F159" s="371"/>
      <c r="G159" s="384"/>
      <c r="H159" s="383"/>
      <c r="I159" s="371"/>
      <c r="J159" s="371"/>
      <c r="K159" s="384"/>
    </row>
    <row r="160" spans="1:16">
      <c r="A160" s="373" t="s">
        <v>280</v>
      </c>
      <c r="B160" s="373"/>
      <c r="C160" s="373"/>
      <c r="D160" s="373"/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</row>
    <row r="161" spans="1:16" ht="7.5" customHeight="1"/>
    <row r="162" spans="1:16">
      <c r="A162" s="4" t="s">
        <v>12</v>
      </c>
      <c r="E162" s="368" t="s">
        <v>85</v>
      </c>
      <c r="F162" s="368"/>
      <c r="G162" s="368"/>
      <c r="H162" s="368"/>
      <c r="I162" s="368"/>
      <c r="J162" s="368"/>
      <c r="K162" s="368"/>
      <c r="L162" s="368"/>
      <c r="M162" s="203"/>
      <c r="N162" s="203" t="s">
        <v>14</v>
      </c>
      <c r="O162" s="369" t="s">
        <v>99</v>
      </c>
      <c r="P162" s="369"/>
    </row>
    <row r="163" spans="1:16">
      <c r="A163" s="380" t="s">
        <v>98</v>
      </c>
      <c r="B163" s="380"/>
      <c r="C163" s="380"/>
      <c r="D163" s="380"/>
      <c r="E163" s="380"/>
      <c r="F163" s="380"/>
      <c r="G163" s="380"/>
      <c r="H163" s="380"/>
      <c r="I163" s="380"/>
      <c r="J163" s="380"/>
      <c r="K163" s="380"/>
      <c r="L163" s="380"/>
      <c r="M163" s="203"/>
      <c r="N163" s="203" t="s">
        <v>15</v>
      </c>
      <c r="O163" s="369"/>
      <c r="P163" s="369"/>
    </row>
    <row r="164" spans="1:16">
      <c r="A164" s="4" t="s">
        <v>13</v>
      </c>
      <c r="M164" s="203"/>
      <c r="N164" s="203" t="s">
        <v>16</v>
      </c>
      <c r="O164" s="369"/>
      <c r="P164" s="369"/>
    </row>
    <row r="165" spans="1:16">
      <c r="A165" s="380" t="s">
        <v>86</v>
      </c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</row>
    <row r="166" spans="1:16" ht="4.5" customHeight="1">
      <c r="A166" s="295"/>
      <c r="B166" s="295"/>
      <c r="C166" s="295"/>
      <c r="D166" s="295"/>
      <c r="E166" s="295"/>
      <c r="F166" s="295"/>
      <c r="G166" s="295"/>
      <c r="H166" s="295"/>
      <c r="I166" s="295"/>
      <c r="J166" s="295"/>
      <c r="K166" s="295"/>
      <c r="L166" s="295"/>
      <c r="M166" s="295"/>
      <c r="N166" s="295"/>
    </row>
    <row r="167" spans="1:16">
      <c r="A167" s="4" t="s">
        <v>17</v>
      </c>
    </row>
    <row r="168" spans="1:16" ht="5.25" customHeight="1"/>
    <row r="169" spans="1:16">
      <c r="A169" s="4" t="s">
        <v>20</v>
      </c>
    </row>
    <row r="170" spans="1:16" ht="7.5" customHeight="1"/>
    <row r="171" spans="1:16" ht="34.5" customHeight="1">
      <c r="A171" s="382" t="s">
        <v>21</v>
      </c>
      <c r="B171" s="382"/>
      <c r="C171" s="392" t="s">
        <v>22</v>
      </c>
      <c r="D171" s="393"/>
      <c r="E171" s="394"/>
      <c r="F171" s="426" t="s">
        <v>24</v>
      </c>
      <c r="G171" s="426"/>
      <c r="H171" s="382" t="s">
        <v>25</v>
      </c>
      <c r="I171" s="382"/>
      <c r="J171" s="382"/>
      <c r="K171" s="382"/>
      <c r="L171" s="382"/>
      <c r="M171" s="392" t="s">
        <v>26</v>
      </c>
      <c r="N171" s="393"/>
      <c r="O171" s="394"/>
      <c r="P171" s="291"/>
    </row>
    <row r="172" spans="1:16" s="190" customFormat="1" ht="24.75" customHeight="1">
      <c r="A172" s="382"/>
      <c r="B172" s="382"/>
      <c r="C172" s="395" t="s">
        <v>23</v>
      </c>
      <c r="D172" s="395" t="s">
        <v>23</v>
      </c>
      <c r="E172" s="395" t="s">
        <v>23</v>
      </c>
      <c r="F172" s="395" t="s">
        <v>23</v>
      </c>
      <c r="G172" s="395" t="s">
        <v>23</v>
      </c>
      <c r="H172" s="382" t="s">
        <v>30</v>
      </c>
      <c r="I172" s="382"/>
      <c r="J172" s="382" t="s">
        <v>27</v>
      </c>
      <c r="K172" s="382"/>
      <c r="L172" s="382"/>
      <c r="M172" s="385" t="s">
        <v>347</v>
      </c>
      <c r="N172" s="385" t="s">
        <v>348</v>
      </c>
      <c r="O172" s="385" t="s">
        <v>349</v>
      </c>
      <c r="P172" s="189"/>
    </row>
    <row r="173" spans="1:16" s="190" customFormat="1" ht="16.5" customHeight="1">
      <c r="A173" s="382"/>
      <c r="B173" s="382"/>
      <c r="C173" s="395"/>
      <c r="D173" s="395"/>
      <c r="E173" s="395"/>
      <c r="F173" s="395"/>
      <c r="G173" s="395"/>
      <c r="H173" s="382"/>
      <c r="I173" s="382"/>
      <c r="J173" s="396" t="s">
        <v>29</v>
      </c>
      <c r="K173" s="397"/>
      <c r="L173" s="7" t="s">
        <v>28</v>
      </c>
      <c r="M173" s="386"/>
      <c r="N173" s="386"/>
      <c r="O173" s="386"/>
      <c r="P173" s="189"/>
    </row>
    <row r="174" spans="1:16" s="201" customFormat="1" ht="7.5">
      <c r="A174" s="387">
        <v>1</v>
      </c>
      <c r="B174" s="387"/>
      <c r="C174" s="293">
        <v>2</v>
      </c>
      <c r="D174" s="293">
        <v>3</v>
      </c>
      <c r="E174" s="293">
        <v>4</v>
      </c>
      <c r="F174" s="293">
        <v>5</v>
      </c>
      <c r="G174" s="293">
        <v>6</v>
      </c>
      <c r="H174" s="387">
        <v>7</v>
      </c>
      <c r="I174" s="387"/>
      <c r="J174" s="388">
        <v>8</v>
      </c>
      <c r="K174" s="389"/>
      <c r="L174" s="293">
        <v>9</v>
      </c>
      <c r="M174" s="293">
        <v>10</v>
      </c>
      <c r="N174" s="293">
        <v>11</v>
      </c>
      <c r="O174" s="293">
        <v>12</v>
      </c>
      <c r="P174" s="202"/>
    </row>
    <row r="175" spans="1:16" ht="30" customHeight="1">
      <c r="A175" s="390" t="s">
        <v>359</v>
      </c>
      <c r="B175" s="391"/>
      <c r="C175" s="8"/>
      <c r="D175" s="8"/>
      <c r="E175" s="8"/>
      <c r="F175" s="8" t="s">
        <v>87</v>
      </c>
      <c r="G175" s="8"/>
      <c r="H175" s="399" t="s">
        <v>94</v>
      </c>
      <c r="I175" s="400"/>
      <c r="J175" s="401" t="s">
        <v>95</v>
      </c>
      <c r="K175" s="402"/>
      <c r="L175" s="191">
        <v>744</v>
      </c>
      <c r="M175" s="314" t="s">
        <v>274</v>
      </c>
      <c r="N175" s="314" t="s">
        <v>274</v>
      </c>
      <c r="O175" s="314" t="s">
        <v>274</v>
      </c>
      <c r="P175" s="193"/>
    </row>
    <row r="176" spans="1:16" ht="30.75" customHeight="1">
      <c r="A176" s="390" t="s">
        <v>355</v>
      </c>
      <c r="B176" s="391"/>
      <c r="C176" s="8"/>
      <c r="D176" s="8"/>
      <c r="E176" s="8"/>
      <c r="F176" s="10" t="s">
        <v>88</v>
      </c>
      <c r="G176" s="8"/>
      <c r="H176" s="399" t="s">
        <v>94</v>
      </c>
      <c r="I176" s="400"/>
      <c r="J176" s="401" t="s">
        <v>95</v>
      </c>
      <c r="K176" s="402"/>
      <c r="L176" s="191">
        <v>744</v>
      </c>
      <c r="M176" s="314" t="s">
        <v>274</v>
      </c>
      <c r="N176" s="314" t="s">
        <v>274</v>
      </c>
      <c r="O176" s="314" t="s">
        <v>274</v>
      </c>
      <c r="P176" s="193"/>
    </row>
    <row r="177" spans="1:16" hidden="1">
      <c r="A177" s="383"/>
      <c r="B177" s="384"/>
      <c r="C177" s="1"/>
      <c r="D177" s="1"/>
      <c r="E177" s="1"/>
      <c r="F177" s="1"/>
      <c r="G177" s="1"/>
      <c r="H177" s="383"/>
      <c r="I177" s="384"/>
      <c r="J177" s="383"/>
      <c r="K177" s="384"/>
      <c r="L177" s="1"/>
      <c r="M177" s="1"/>
      <c r="N177" s="1"/>
      <c r="O177" s="383"/>
      <c r="P177" s="384"/>
    </row>
    <row r="178" spans="1:16" hidden="1">
      <c r="A178" s="383"/>
      <c r="B178" s="384"/>
      <c r="C178" s="1"/>
      <c r="D178" s="1"/>
      <c r="E178" s="1"/>
      <c r="F178" s="1"/>
      <c r="G178" s="1"/>
      <c r="H178" s="383"/>
      <c r="I178" s="384"/>
      <c r="J178" s="383"/>
      <c r="K178" s="384"/>
      <c r="L178" s="1"/>
      <c r="M178" s="1"/>
      <c r="N178" s="1"/>
      <c r="O178" s="383"/>
      <c r="P178" s="384"/>
    </row>
    <row r="179" spans="1:16" hidden="1">
      <c r="A179" s="383"/>
      <c r="B179" s="384"/>
      <c r="C179" s="1"/>
      <c r="D179" s="1"/>
      <c r="E179" s="1"/>
      <c r="F179" s="1"/>
      <c r="G179" s="1"/>
      <c r="H179" s="383"/>
      <c r="I179" s="384"/>
      <c r="J179" s="383"/>
      <c r="K179" s="384"/>
      <c r="L179" s="1"/>
      <c r="M179" s="1"/>
      <c r="N179" s="1"/>
      <c r="O179" s="383"/>
      <c r="P179" s="384"/>
    </row>
    <row r="180" spans="1:16" hidden="1">
      <c r="A180" s="383"/>
      <c r="B180" s="384"/>
      <c r="C180" s="1"/>
      <c r="D180" s="1"/>
      <c r="E180" s="1"/>
      <c r="F180" s="1"/>
      <c r="G180" s="1"/>
      <c r="H180" s="383"/>
      <c r="I180" s="384"/>
      <c r="J180" s="383"/>
      <c r="K180" s="384"/>
      <c r="L180" s="1"/>
      <c r="M180" s="1"/>
      <c r="N180" s="1"/>
      <c r="O180" s="383"/>
      <c r="P180" s="384"/>
    </row>
    <row r="181" spans="1:16" hidden="1">
      <c r="A181" s="383"/>
      <c r="B181" s="384"/>
      <c r="C181" s="1"/>
      <c r="D181" s="1"/>
      <c r="E181" s="1"/>
      <c r="F181" s="1"/>
      <c r="G181" s="1"/>
      <c r="H181" s="383"/>
      <c r="I181" s="384"/>
      <c r="J181" s="383"/>
      <c r="K181" s="384"/>
      <c r="L181" s="1"/>
      <c r="M181" s="1"/>
      <c r="N181" s="1"/>
      <c r="O181" s="383"/>
      <c r="P181" s="384"/>
    </row>
    <row r="182" spans="1:16" hidden="1">
      <c r="A182" s="383"/>
      <c r="B182" s="384"/>
      <c r="C182" s="1"/>
      <c r="D182" s="1"/>
      <c r="E182" s="1"/>
      <c r="F182" s="1"/>
      <c r="G182" s="1"/>
      <c r="H182" s="383"/>
      <c r="I182" s="384"/>
      <c r="J182" s="383"/>
      <c r="K182" s="384"/>
      <c r="L182" s="1"/>
      <c r="M182" s="1"/>
      <c r="N182" s="1"/>
      <c r="O182" s="383"/>
      <c r="P182" s="384"/>
    </row>
    <row r="183" spans="1:16" ht="7.5" customHeight="1"/>
    <row r="184" spans="1:16">
      <c r="A184" s="4" t="s">
        <v>31</v>
      </c>
    </row>
    <row r="185" spans="1:16">
      <c r="A185" s="4" t="s">
        <v>32</v>
      </c>
      <c r="C185" s="369"/>
      <c r="D185" s="369"/>
    </row>
    <row r="186" spans="1:16" ht="7.5" customHeight="1">
      <c r="D186" s="194"/>
    </row>
    <row r="187" spans="1:16">
      <c r="A187" s="4" t="s">
        <v>41</v>
      </c>
    </row>
    <row r="188" spans="1:16" ht="8.25" customHeight="1"/>
    <row r="189" spans="1:16" ht="31.5" customHeight="1">
      <c r="A189" s="405" t="s">
        <v>21</v>
      </c>
      <c r="B189" s="408"/>
      <c r="C189" s="392" t="s">
        <v>22</v>
      </c>
      <c r="D189" s="393"/>
      <c r="E189" s="394"/>
      <c r="F189" s="426" t="s">
        <v>24</v>
      </c>
      <c r="G189" s="426"/>
      <c r="H189" s="382" t="s">
        <v>33</v>
      </c>
      <c r="I189" s="382"/>
      <c r="J189" s="382"/>
      <c r="K189" s="382" t="s">
        <v>34</v>
      </c>
      <c r="L189" s="382"/>
      <c r="M189" s="382"/>
      <c r="N189" s="393" t="s">
        <v>35</v>
      </c>
      <c r="O189" s="393"/>
      <c r="P189" s="394"/>
    </row>
    <row r="190" spans="1:16" ht="42" customHeight="1">
      <c r="A190" s="409"/>
      <c r="B190" s="410"/>
      <c r="C190" s="395" t="s">
        <v>23</v>
      </c>
      <c r="D190" s="395" t="s">
        <v>23</v>
      </c>
      <c r="E190" s="395" t="s">
        <v>23</v>
      </c>
      <c r="F190" s="395" t="s">
        <v>23</v>
      </c>
      <c r="G190" s="395" t="s">
        <v>23</v>
      </c>
      <c r="H190" s="382" t="s">
        <v>30</v>
      </c>
      <c r="I190" s="382" t="s">
        <v>27</v>
      </c>
      <c r="J190" s="382"/>
      <c r="K190" s="403" t="s">
        <v>347</v>
      </c>
      <c r="L190" s="403" t="s">
        <v>348</v>
      </c>
      <c r="M190" s="405" t="s">
        <v>349</v>
      </c>
      <c r="N190" s="403" t="s">
        <v>347</v>
      </c>
      <c r="O190" s="403" t="s">
        <v>348</v>
      </c>
      <c r="P190" s="405" t="s">
        <v>349</v>
      </c>
    </row>
    <row r="191" spans="1:16" ht="13.5" customHeight="1">
      <c r="A191" s="406"/>
      <c r="B191" s="411"/>
      <c r="C191" s="395"/>
      <c r="D191" s="395"/>
      <c r="E191" s="395"/>
      <c r="F191" s="395"/>
      <c r="G191" s="395"/>
      <c r="H191" s="382"/>
      <c r="I191" s="292" t="s">
        <v>37</v>
      </c>
      <c r="J191" s="7" t="s">
        <v>28</v>
      </c>
      <c r="K191" s="404"/>
      <c r="L191" s="404"/>
      <c r="M191" s="406"/>
      <c r="N191" s="404"/>
      <c r="O191" s="404"/>
      <c r="P191" s="406"/>
    </row>
    <row r="192" spans="1:16" s="201" customFormat="1" ht="7.5">
      <c r="A192" s="427">
        <v>1</v>
      </c>
      <c r="B192" s="428"/>
      <c r="C192" s="293">
        <v>2</v>
      </c>
      <c r="D192" s="293">
        <v>3</v>
      </c>
      <c r="E192" s="293">
        <v>4</v>
      </c>
      <c r="F192" s="293">
        <v>5</v>
      </c>
      <c r="G192" s="293">
        <v>6</v>
      </c>
      <c r="H192" s="293">
        <v>7</v>
      </c>
      <c r="I192" s="293">
        <v>8</v>
      </c>
      <c r="J192" s="293">
        <v>9</v>
      </c>
      <c r="K192" s="293">
        <v>10</v>
      </c>
      <c r="L192" s="293">
        <v>11</v>
      </c>
      <c r="M192" s="293">
        <v>12</v>
      </c>
      <c r="N192" s="293">
        <v>13</v>
      </c>
      <c r="O192" s="293">
        <v>14</v>
      </c>
      <c r="P192" s="293">
        <v>15</v>
      </c>
    </row>
    <row r="193" spans="1:16" ht="24" customHeight="1">
      <c r="A193" s="413" t="str">
        <f>A175</f>
        <v xml:space="preserve">567010000131001520311794000301000101001101101 </v>
      </c>
      <c r="B193" s="391"/>
      <c r="C193" s="8"/>
      <c r="D193" s="8"/>
      <c r="E193" s="8"/>
      <c r="F193" s="8" t="s">
        <v>87</v>
      </c>
      <c r="G193" s="8"/>
      <c r="H193" s="10" t="s">
        <v>89</v>
      </c>
      <c r="I193" s="9" t="s">
        <v>90</v>
      </c>
      <c r="J193" s="8">
        <v>792</v>
      </c>
      <c r="K193" s="8">
        <f ca="1">'проверка 2017'!M4+'проверка 2017'!N4</f>
        <v>46</v>
      </c>
      <c r="L193" s="8">
        <f ca="1">'проверка 2018'!M4+'проверка 2018'!N4</f>
        <v>51</v>
      </c>
      <c r="M193" s="8">
        <f ca="1">'проверка 2019'!M4+'проверка 2019'!N4</f>
        <v>50</v>
      </c>
      <c r="N193" s="8">
        <f ca="1">'проверка 2017'!M33</f>
        <v>44130.07</v>
      </c>
      <c r="O193" s="8">
        <f ca="1">'проверка 2018'!M29</f>
        <v>43314.17</v>
      </c>
      <c r="P193" s="8">
        <f ca="1">'проверка 2019'!M29</f>
        <v>43841.61</v>
      </c>
    </row>
    <row r="194" spans="1:16" ht="23.25" customHeight="1">
      <c r="A194" s="413" t="str">
        <f>A176</f>
        <v xml:space="preserve">567010000131001520311794000301000105007101101 </v>
      </c>
      <c r="B194" s="391"/>
      <c r="C194" s="8"/>
      <c r="D194" s="8"/>
      <c r="E194" s="8"/>
      <c r="F194" s="10" t="s">
        <v>88</v>
      </c>
      <c r="G194" s="8"/>
      <c r="H194" s="10" t="s">
        <v>89</v>
      </c>
      <c r="I194" s="9" t="s">
        <v>90</v>
      </c>
      <c r="J194" s="8">
        <v>792</v>
      </c>
      <c r="K194" s="8"/>
      <c r="L194" s="8"/>
      <c r="M194" s="8"/>
      <c r="N194" s="8"/>
      <c r="O194" s="9"/>
      <c r="P194" s="9"/>
    </row>
    <row r="195" spans="1:16" hidden="1">
      <c r="A195" s="9"/>
      <c r="B195" s="9"/>
      <c r="C195" s="8"/>
      <c r="D195" s="8"/>
      <c r="E195" s="8"/>
      <c r="F195" s="8"/>
      <c r="G195" s="8"/>
      <c r="H195" s="9"/>
      <c r="I195" s="9"/>
      <c r="J195" s="8"/>
      <c r="K195" s="8"/>
      <c r="L195" s="8"/>
      <c r="M195" s="8"/>
      <c r="N195" s="8"/>
      <c r="O195" s="195"/>
      <c r="P195" s="196"/>
    </row>
    <row r="196" spans="1:16" hidden="1">
      <c r="A196" s="3"/>
      <c r="B196" s="3"/>
      <c r="C196" s="1"/>
      <c r="D196" s="1"/>
      <c r="E196" s="1"/>
      <c r="F196" s="1"/>
      <c r="G196" s="1"/>
      <c r="H196" s="3"/>
      <c r="I196" s="3"/>
      <c r="J196" s="1"/>
      <c r="K196" s="1"/>
      <c r="L196" s="1"/>
      <c r="M196" s="1"/>
      <c r="N196" s="1"/>
      <c r="O196" s="197"/>
      <c r="P196" s="198"/>
    </row>
    <row r="197" spans="1:16" hidden="1">
      <c r="A197" s="3"/>
      <c r="B197" s="3"/>
      <c r="C197" s="1"/>
      <c r="D197" s="1"/>
      <c r="E197" s="1"/>
      <c r="F197" s="1"/>
      <c r="G197" s="1"/>
      <c r="H197" s="3"/>
      <c r="I197" s="3"/>
      <c r="J197" s="1"/>
      <c r="K197" s="1"/>
      <c r="L197" s="1"/>
      <c r="M197" s="1"/>
      <c r="N197" s="1"/>
      <c r="O197" s="197"/>
      <c r="P197" s="198"/>
    </row>
    <row r="198" spans="1:16" hidden="1">
      <c r="A198" s="3"/>
      <c r="B198" s="3"/>
      <c r="C198" s="1"/>
      <c r="D198" s="1"/>
      <c r="E198" s="1"/>
      <c r="F198" s="1"/>
      <c r="G198" s="1"/>
      <c r="H198" s="3"/>
      <c r="I198" s="3"/>
      <c r="J198" s="1"/>
      <c r="K198" s="1"/>
      <c r="L198" s="1"/>
      <c r="M198" s="1"/>
      <c r="N198" s="1"/>
      <c r="O198" s="197"/>
      <c r="P198" s="198"/>
    </row>
    <row r="199" spans="1:16" hidden="1">
      <c r="A199" s="3"/>
      <c r="B199" s="3"/>
      <c r="C199" s="1"/>
      <c r="D199" s="1"/>
      <c r="E199" s="1"/>
      <c r="F199" s="1"/>
      <c r="G199" s="1"/>
      <c r="H199" s="3"/>
      <c r="I199" s="3"/>
      <c r="J199" s="1"/>
      <c r="K199" s="1"/>
      <c r="L199" s="1"/>
      <c r="M199" s="1"/>
      <c r="N199" s="1"/>
      <c r="O199" s="197"/>
      <c r="P199" s="198"/>
    </row>
    <row r="200" spans="1:16" hidden="1">
      <c r="A200" s="3"/>
      <c r="B200" s="3"/>
      <c r="C200" s="1"/>
      <c r="D200" s="1"/>
      <c r="E200" s="1"/>
      <c r="F200" s="1"/>
      <c r="G200" s="1"/>
      <c r="H200" s="3"/>
      <c r="I200" s="3"/>
      <c r="J200" s="1"/>
      <c r="K200" s="1"/>
      <c r="L200" s="1"/>
      <c r="M200" s="1"/>
      <c r="N200" s="1"/>
      <c r="O200" s="197"/>
      <c r="P200" s="198"/>
    </row>
    <row r="201" spans="1:16" ht="6" customHeight="1"/>
    <row r="202" spans="1:16">
      <c r="A202" s="4" t="s">
        <v>36</v>
      </c>
    </row>
    <row r="203" spans="1:16">
      <c r="A203" s="4" t="s">
        <v>32</v>
      </c>
      <c r="C203" s="369"/>
      <c r="D203" s="369"/>
    </row>
    <row r="204" spans="1:16" ht="6" customHeight="1">
      <c r="D204" s="194"/>
    </row>
    <row r="205" spans="1:16">
      <c r="A205" s="4" t="s">
        <v>42</v>
      </c>
    </row>
    <row r="206" spans="1:16" ht="8.25" customHeight="1"/>
    <row r="207" spans="1:16">
      <c r="A207" s="369" t="s">
        <v>47</v>
      </c>
      <c r="B207" s="369"/>
      <c r="C207" s="369"/>
      <c r="D207" s="369"/>
      <c r="E207" s="369"/>
      <c r="F207" s="369"/>
      <c r="G207" s="369"/>
      <c r="H207" s="369"/>
      <c r="I207" s="369"/>
      <c r="J207" s="369"/>
      <c r="K207" s="369"/>
      <c r="L207" s="369"/>
      <c r="M207" s="369"/>
      <c r="N207" s="369"/>
      <c r="O207" s="369"/>
      <c r="P207" s="369"/>
    </row>
    <row r="208" spans="1:16">
      <c r="A208" s="287" t="s">
        <v>43</v>
      </c>
      <c r="B208" s="369" t="s">
        <v>44</v>
      </c>
      <c r="C208" s="369"/>
      <c r="D208" s="369"/>
      <c r="E208" s="287" t="s">
        <v>45</v>
      </c>
      <c r="F208" s="287" t="s">
        <v>46</v>
      </c>
      <c r="G208" s="369" t="s">
        <v>29</v>
      </c>
      <c r="H208" s="369"/>
      <c r="I208" s="369"/>
      <c r="J208" s="369"/>
      <c r="K208" s="369"/>
      <c r="L208" s="369"/>
      <c r="M208" s="369"/>
      <c r="N208" s="369"/>
      <c r="O208" s="369"/>
      <c r="P208" s="369"/>
    </row>
    <row r="209" spans="1:16" s="201" customFormat="1" ht="7.5">
      <c r="A209" s="288">
        <v>1</v>
      </c>
      <c r="B209" s="414">
        <v>2</v>
      </c>
      <c r="C209" s="414"/>
      <c r="D209" s="414"/>
      <c r="E209" s="288">
        <v>3</v>
      </c>
      <c r="F209" s="288">
        <v>4</v>
      </c>
      <c r="G209" s="414">
        <v>5</v>
      </c>
      <c r="H209" s="414"/>
      <c r="I209" s="414"/>
      <c r="J209" s="414"/>
      <c r="K209" s="414"/>
      <c r="L209" s="414"/>
      <c r="M209" s="414"/>
      <c r="N209" s="414"/>
      <c r="O209" s="414"/>
      <c r="P209" s="414"/>
    </row>
    <row r="210" spans="1:16" s="190" customFormat="1" ht="39.75" customHeight="1">
      <c r="A210" s="7" t="s">
        <v>275</v>
      </c>
      <c r="B210" s="392" t="s">
        <v>276</v>
      </c>
      <c r="C210" s="393"/>
      <c r="D210" s="394"/>
      <c r="E210" s="199">
        <v>42705</v>
      </c>
      <c r="F210" s="7">
        <v>222</v>
      </c>
      <c r="G210" s="423" t="s">
        <v>350</v>
      </c>
      <c r="H210" s="424"/>
      <c r="I210" s="424"/>
      <c r="J210" s="424"/>
      <c r="K210" s="424"/>
      <c r="L210" s="424"/>
      <c r="M210" s="424"/>
      <c r="N210" s="424"/>
      <c r="O210" s="424"/>
      <c r="P210" s="425"/>
    </row>
    <row r="211" spans="1:16" s="190" customFormat="1" ht="11.25" hidden="1">
      <c r="A211" s="8"/>
      <c r="B211" s="412"/>
      <c r="C211" s="412"/>
      <c r="D211" s="412"/>
      <c r="E211" s="200"/>
      <c r="F211" s="8"/>
      <c r="G211" s="407"/>
      <c r="H211" s="407"/>
      <c r="I211" s="407"/>
      <c r="J211" s="407"/>
      <c r="K211" s="407"/>
      <c r="L211" s="407"/>
      <c r="M211" s="407"/>
      <c r="N211" s="407"/>
      <c r="O211" s="407"/>
      <c r="P211" s="407"/>
    </row>
    <row r="212" spans="1:16" s="190" customFormat="1" ht="11.25" hidden="1">
      <c r="A212" s="8"/>
      <c r="B212" s="412"/>
      <c r="C212" s="412"/>
      <c r="D212" s="412"/>
      <c r="E212" s="200"/>
      <c r="F212" s="8"/>
      <c r="G212" s="415"/>
      <c r="H212" s="416"/>
      <c r="I212" s="416"/>
      <c r="J212" s="416"/>
      <c r="K212" s="416"/>
      <c r="L212" s="416"/>
      <c r="M212" s="416"/>
      <c r="N212" s="416"/>
      <c r="O212" s="416"/>
      <c r="P212" s="417"/>
    </row>
    <row r="213" spans="1:16" s="190" customFormat="1" ht="11.25" hidden="1">
      <c r="A213" s="8"/>
      <c r="B213" s="412"/>
      <c r="C213" s="412"/>
      <c r="D213" s="412"/>
      <c r="E213" s="8"/>
      <c r="F213" s="8"/>
      <c r="G213" s="407"/>
      <c r="H213" s="407"/>
      <c r="I213" s="407"/>
      <c r="J213" s="407"/>
      <c r="K213" s="407"/>
      <c r="L213" s="407"/>
      <c r="M213" s="407"/>
      <c r="N213" s="407"/>
      <c r="O213" s="407"/>
      <c r="P213" s="407"/>
    </row>
    <row r="214" spans="1:16" ht="9.75" customHeight="1"/>
    <row r="215" spans="1:16">
      <c r="A215" s="4" t="s">
        <v>48</v>
      </c>
    </row>
    <row r="216" spans="1:16" ht="8.25" customHeight="1"/>
    <row r="217" spans="1:16">
      <c r="A217" s="4" t="s">
        <v>49</v>
      </c>
    </row>
    <row r="218" spans="1:16" ht="42.75" customHeight="1">
      <c r="A218" s="418"/>
      <c r="B218" s="418"/>
      <c r="C218" s="418"/>
      <c r="D218" s="418"/>
      <c r="E218" s="418"/>
      <c r="F218" s="418"/>
      <c r="G218" s="418"/>
      <c r="H218" s="418"/>
      <c r="I218" s="418"/>
      <c r="J218" s="418"/>
      <c r="K218" s="418"/>
      <c r="L218" s="418"/>
      <c r="M218" s="418"/>
      <c r="N218" s="418"/>
      <c r="O218" s="418"/>
      <c r="P218" s="418"/>
    </row>
    <row r="219" spans="1:16">
      <c r="A219" s="419" t="s">
        <v>50</v>
      </c>
      <c r="B219" s="419"/>
      <c r="C219" s="419"/>
      <c r="D219" s="419"/>
      <c r="E219" s="419"/>
      <c r="F219" s="419"/>
      <c r="G219" s="419"/>
      <c r="H219" s="419"/>
      <c r="I219" s="419"/>
      <c r="J219" s="419"/>
      <c r="K219" s="419"/>
      <c r="L219" s="419"/>
    </row>
    <row r="220" spans="1:16" ht="3.75" customHeight="1"/>
    <row r="221" spans="1:16">
      <c r="A221" s="4" t="s">
        <v>51</v>
      </c>
    </row>
    <row r="223" spans="1:16">
      <c r="A223" s="369" t="s">
        <v>52</v>
      </c>
      <c r="B223" s="369"/>
      <c r="C223" s="369"/>
      <c r="D223" s="369" t="s">
        <v>53</v>
      </c>
      <c r="E223" s="369"/>
      <c r="F223" s="369"/>
      <c r="G223" s="369"/>
      <c r="H223" s="369" t="s">
        <v>54</v>
      </c>
      <c r="I223" s="369"/>
      <c r="J223" s="369"/>
      <c r="K223" s="369"/>
    </row>
    <row r="224" spans="1:16" s="201" customFormat="1" ht="7.5">
      <c r="A224" s="414">
        <v>1</v>
      </c>
      <c r="B224" s="414"/>
      <c r="C224" s="414"/>
      <c r="D224" s="414">
        <v>2</v>
      </c>
      <c r="E224" s="414"/>
      <c r="F224" s="414"/>
      <c r="G224" s="414"/>
      <c r="H224" s="414">
        <v>3</v>
      </c>
      <c r="I224" s="414"/>
      <c r="J224" s="414"/>
      <c r="K224" s="414"/>
    </row>
    <row r="225" spans="1:16">
      <c r="A225" s="420" t="s">
        <v>283</v>
      </c>
      <c r="B225" s="421"/>
      <c r="C225" s="422"/>
      <c r="D225" s="383"/>
      <c r="E225" s="371"/>
      <c r="F225" s="371"/>
      <c r="G225" s="384"/>
      <c r="H225" s="383"/>
      <c r="I225" s="371"/>
      <c r="J225" s="371"/>
      <c r="K225" s="384"/>
    </row>
    <row r="226" spans="1:16" hidden="1">
      <c r="A226" s="383"/>
      <c r="B226" s="371"/>
      <c r="C226" s="384"/>
      <c r="D226" s="383"/>
      <c r="E226" s="371"/>
      <c r="F226" s="371"/>
      <c r="G226" s="384"/>
      <c r="H226" s="383"/>
      <c r="I226" s="371"/>
      <c r="J226" s="371"/>
      <c r="K226" s="384"/>
    </row>
    <row r="227" spans="1:16" hidden="1">
      <c r="A227" s="383"/>
      <c r="B227" s="371"/>
      <c r="C227" s="384"/>
      <c r="D227" s="383"/>
      <c r="E227" s="371"/>
      <c r="F227" s="371"/>
      <c r="G227" s="384"/>
      <c r="H227" s="383"/>
      <c r="I227" s="371"/>
      <c r="J227" s="371"/>
      <c r="K227" s="384"/>
    </row>
    <row r="228" spans="1:16">
      <c r="A228" s="373" t="s">
        <v>281</v>
      </c>
      <c r="B228" s="373"/>
      <c r="C228" s="373"/>
      <c r="D228" s="373"/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</row>
    <row r="229" spans="1:16" ht="7.5" customHeight="1"/>
    <row r="230" spans="1:16">
      <c r="A230" s="4" t="s">
        <v>12</v>
      </c>
      <c r="E230" s="368" t="s">
        <v>269</v>
      </c>
      <c r="F230" s="368"/>
      <c r="G230" s="368"/>
      <c r="H230" s="368"/>
      <c r="I230" s="368"/>
      <c r="J230" s="368"/>
      <c r="K230" s="368"/>
      <c r="L230" s="368"/>
      <c r="M230" s="296"/>
      <c r="N230" s="296" t="s">
        <v>14</v>
      </c>
      <c r="O230" s="369" t="s">
        <v>100</v>
      </c>
      <c r="P230" s="369"/>
    </row>
    <row r="231" spans="1:16">
      <c r="A231" s="380" t="s">
        <v>84</v>
      </c>
      <c r="B231" s="380"/>
      <c r="C231" s="380"/>
      <c r="D231" s="380"/>
      <c r="E231" s="380"/>
      <c r="F231" s="380"/>
      <c r="G231" s="380"/>
      <c r="H231" s="380"/>
      <c r="I231" s="380"/>
      <c r="J231" s="380"/>
      <c r="K231" s="380"/>
      <c r="L231" s="380"/>
      <c r="M231" s="296"/>
      <c r="N231" s="296" t="s">
        <v>15</v>
      </c>
      <c r="O231" s="369"/>
      <c r="P231" s="369"/>
    </row>
    <row r="232" spans="1:16">
      <c r="A232" s="4" t="s">
        <v>13</v>
      </c>
      <c r="M232" s="296"/>
      <c r="N232" s="296" t="s">
        <v>16</v>
      </c>
      <c r="O232" s="369"/>
      <c r="P232" s="369"/>
    </row>
    <row r="233" spans="1:16">
      <c r="A233" s="380" t="s">
        <v>101</v>
      </c>
      <c r="B233" s="380"/>
      <c r="C233" s="380"/>
      <c r="D233" s="380"/>
      <c r="E233" s="380"/>
      <c r="F233" s="380"/>
      <c r="G233" s="380"/>
      <c r="H233" s="380"/>
      <c r="I233" s="380"/>
      <c r="J233" s="380"/>
      <c r="K233" s="380"/>
      <c r="L233" s="380"/>
      <c r="M233" s="380"/>
      <c r="N233" s="380"/>
    </row>
    <row r="234" spans="1:16" ht="4.5" customHeight="1">
      <c r="A234" s="295"/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</row>
    <row r="235" spans="1:16">
      <c r="A235" s="4" t="s">
        <v>17</v>
      </c>
    </row>
    <row r="236" spans="1:16" ht="5.25" customHeight="1"/>
    <row r="237" spans="1:16">
      <c r="A237" s="4" t="s">
        <v>20</v>
      </c>
    </row>
    <row r="238" spans="1:16" ht="7.5" customHeight="1"/>
    <row r="239" spans="1:16" ht="34.5" customHeight="1">
      <c r="A239" s="382" t="s">
        <v>21</v>
      </c>
      <c r="B239" s="382"/>
      <c r="C239" s="392" t="s">
        <v>22</v>
      </c>
      <c r="D239" s="393"/>
      <c r="E239" s="394"/>
      <c r="F239" s="426" t="s">
        <v>24</v>
      </c>
      <c r="G239" s="426"/>
      <c r="H239" s="382" t="s">
        <v>25</v>
      </c>
      <c r="I239" s="382"/>
      <c r="J239" s="382"/>
      <c r="K239" s="382"/>
      <c r="L239" s="382"/>
      <c r="M239" s="392" t="s">
        <v>26</v>
      </c>
      <c r="N239" s="393"/>
      <c r="O239" s="394"/>
      <c r="P239" s="291"/>
    </row>
    <row r="240" spans="1:16" s="190" customFormat="1" ht="24.75" customHeight="1">
      <c r="A240" s="382"/>
      <c r="B240" s="382"/>
      <c r="C240" s="395" t="s">
        <v>23</v>
      </c>
      <c r="D240" s="395" t="s">
        <v>23</v>
      </c>
      <c r="E240" s="395" t="s">
        <v>23</v>
      </c>
      <c r="F240" s="395" t="s">
        <v>23</v>
      </c>
      <c r="G240" s="395" t="s">
        <v>23</v>
      </c>
      <c r="H240" s="382" t="s">
        <v>30</v>
      </c>
      <c r="I240" s="382"/>
      <c r="J240" s="382" t="s">
        <v>27</v>
      </c>
      <c r="K240" s="382"/>
      <c r="L240" s="382"/>
      <c r="M240" s="385" t="s">
        <v>347</v>
      </c>
      <c r="N240" s="385" t="s">
        <v>348</v>
      </c>
      <c r="O240" s="385" t="s">
        <v>349</v>
      </c>
      <c r="P240" s="189"/>
    </row>
    <row r="241" spans="1:16" s="190" customFormat="1" ht="16.5" customHeight="1">
      <c r="A241" s="382"/>
      <c r="B241" s="382"/>
      <c r="C241" s="395"/>
      <c r="D241" s="395"/>
      <c r="E241" s="395"/>
      <c r="F241" s="395"/>
      <c r="G241" s="395"/>
      <c r="H241" s="382"/>
      <c r="I241" s="382"/>
      <c r="J241" s="396" t="s">
        <v>29</v>
      </c>
      <c r="K241" s="397"/>
      <c r="L241" s="7" t="s">
        <v>28</v>
      </c>
      <c r="M241" s="386"/>
      <c r="N241" s="386"/>
      <c r="O241" s="386"/>
      <c r="P241" s="189"/>
    </row>
    <row r="242" spans="1:16" s="201" customFormat="1" ht="11.25" customHeight="1">
      <c r="A242" s="387">
        <v>1</v>
      </c>
      <c r="B242" s="387"/>
      <c r="C242" s="293">
        <v>2</v>
      </c>
      <c r="D242" s="293">
        <v>3</v>
      </c>
      <c r="E242" s="293">
        <v>4</v>
      </c>
      <c r="F242" s="293">
        <v>5</v>
      </c>
      <c r="G242" s="293">
        <v>6</v>
      </c>
      <c r="H242" s="387">
        <v>7</v>
      </c>
      <c r="I242" s="387"/>
      <c r="J242" s="388">
        <v>8</v>
      </c>
      <c r="K242" s="389"/>
      <c r="L242" s="293">
        <v>9</v>
      </c>
      <c r="M242" s="293">
        <v>10</v>
      </c>
      <c r="N242" s="293">
        <v>11</v>
      </c>
      <c r="O242" s="293">
        <v>12</v>
      </c>
      <c r="P242" s="202"/>
    </row>
    <row r="243" spans="1:16" ht="30" customHeight="1">
      <c r="A243" s="390" t="s">
        <v>353</v>
      </c>
      <c r="B243" s="391"/>
      <c r="C243" s="8"/>
      <c r="D243" s="8"/>
      <c r="E243" s="8"/>
      <c r="F243" s="8" t="s">
        <v>87</v>
      </c>
      <c r="G243" s="8"/>
      <c r="H243" s="399" t="s">
        <v>94</v>
      </c>
      <c r="I243" s="400"/>
      <c r="J243" s="401" t="s">
        <v>95</v>
      </c>
      <c r="K243" s="402"/>
      <c r="L243" s="191">
        <v>744</v>
      </c>
      <c r="M243" s="192" t="s">
        <v>274</v>
      </c>
      <c r="N243" s="192" t="s">
        <v>274</v>
      </c>
      <c r="O243" s="192" t="s">
        <v>274</v>
      </c>
      <c r="P243" s="193"/>
    </row>
    <row r="244" spans="1:16" ht="32.25" customHeight="1">
      <c r="A244" s="390" t="s">
        <v>354</v>
      </c>
      <c r="B244" s="391"/>
      <c r="C244" s="8"/>
      <c r="D244" s="8"/>
      <c r="E244" s="8"/>
      <c r="F244" s="10" t="s">
        <v>88</v>
      </c>
      <c r="G244" s="8"/>
      <c r="H244" s="399" t="s">
        <v>94</v>
      </c>
      <c r="I244" s="400"/>
      <c r="J244" s="401" t="s">
        <v>95</v>
      </c>
      <c r="K244" s="402"/>
      <c r="L244" s="191">
        <v>744</v>
      </c>
      <c r="M244" s="192" t="s">
        <v>274</v>
      </c>
      <c r="N244" s="192" t="s">
        <v>274</v>
      </c>
      <c r="O244" s="192" t="s">
        <v>274</v>
      </c>
      <c r="P244" s="193"/>
    </row>
    <row r="245" spans="1:16" hidden="1">
      <c r="A245" s="383"/>
      <c r="B245" s="384"/>
      <c r="C245" s="1"/>
      <c r="D245" s="1"/>
      <c r="E245" s="1"/>
      <c r="F245" s="1"/>
      <c r="G245" s="1"/>
      <c r="H245" s="383"/>
      <c r="I245" s="384"/>
      <c r="J245" s="383"/>
      <c r="K245" s="384"/>
      <c r="L245" s="1"/>
      <c r="M245" s="1"/>
      <c r="N245" s="1"/>
      <c r="O245" s="383"/>
      <c r="P245" s="384"/>
    </row>
    <row r="246" spans="1:16" hidden="1">
      <c r="A246" s="383"/>
      <c r="B246" s="384"/>
      <c r="C246" s="1"/>
      <c r="D246" s="1"/>
      <c r="E246" s="1"/>
      <c r="F246" s="1"/>
      <c r="G246" s="1"/>
      <c r="H246" s="383"/>
      <c r="I246" s="384"/>
      <c r="J246" s="383"/>
      <c r="K246" s="384"/>
      <c r="L246" s="1"/>
      <c r="M246" s="1"/>
      <c r="N246" s="1"/>
      <c r="O246" s="383"/>
      <c r="P246" s="384"/>
    </row>
    <row r="247" spans="1:16" hidden="1">
      <c r="A247" s="383"/>
      <c r="B247" s="384"/>
      <c r="C247" s="1"/>
      <c r="D247" s="1"/>
      <c r="E247" s="1"/>
      <c r="F247" s="1"/>
      <c r="G247" s="1"/>
      <c r="H247" s="383"/>
      <c r="I247" s="384"/>
      <c r="J247" s="383"/>
      <c r="K247" s="384"/>
      <c r="L247" s="1"/>
      <c r="M247" s="1"/>
      <c r="N247" s="1"/>
      <c r="O247" s="383"/>
      <c r="P247" s="384"/>
    </row>
    <row r="248" spans="1:16" hidden="1">
      <c r="A248" s="383"/>
      <c r="B248" s="384"/>
      <c r="C248" s="1"/>
      <c r="D248" s="1"/>
      <c r="E248" s="1"/>
      <c r="F248" s="1"/>
      <c r="G248" s="1"/>
      <c r="H248" s="383"/>
      <c r="I248" s="384"/>
      <c r="J248" s="383"/>
      <c r="K248" s="384"/>
      <c r="L248" s="1"/>
      <c r="M248" s="1"/>
      <c r="N248" s="1"/>
      <c r="O248" s="383"/>
      <c r="P248" s="384"/>
    </row>
    <row r="249" spans="1:16" hidden="1">
      <c r="A249" s="383"/>
      <c r="B249" s="384"/>
      <c r="C249" s="1"/>
      <c r="D249" s="1"/>
      <c r="E249" s="1"/>
      <c r="F249" s="1"/>
      <c r="G249" s="1"/>
      <c r="H249" s="383"/>
      <c r="I249" s="384"/>
      <c r="J249" s="383"/>
      <c r="K249" s="384"/>
      <c r="L249" s="1"/>
      <c r="M249" s="1"/>
      <c r="N249" s="1"/>
      <c r="O249" s="383"/>
      <c r="P249" s="384"/>
    </row>
    <row r="250" spans="1:16" hidden="1">
      <c r="A250" s="383"/>
      <c r="B250" s="384"/>
      <c r="C250" s="1"/>
      <c r="D250" s="1"/>
      <c r="E250" s="1"/>
      <c r="F250" s="1"/>
      <c r="G250" s="1"/>
      <c r="H250" s="383"/>
      <c r="I250" s="384"/>
      <c r="J250" s="383"/>
      <c r="K250" s="384"/>
      <c r="L250" s="1"/>
      <c r="M250" s="1"/>
      <c r="N250" s="1"/>
      <c r="O250" s="383"/>
      <c r="P250" s="384"/>
    </row>
    <row r="251" spans="1:16" ht="7.5" customHeight="1"/>
    <row r="252" spans="1:16">
      <c r="A252" s="4" t="s">
        <v>31</v>
      </c>
    </row>
    <row r="253" spans="1:16">
      <c r="A253" s="4" t="s">
        <v>32</v>
      </c>
      <c r="C253" s="369"/>
      <c r="D253" s="369"/>
    </row>
    <row r="254" spans="1:16" ht="3.75" customHeight="1">
      <c r="D254" s="194"/>
    </row>
    <row r="255" spans="1:16">
      <c r="A255" s="4" t="s">
        <v>41</v>
      </c>
    </row>
    <row r="256" spans="1:16" ht="5.25" customHeight="1"/>
    <row r="257" spans="1:16" ht="36" customHeight="1">
      <c r="A257" s="405" t="s">
        <v>21</v>
      </c>
      <c r="B257" s="408"/>
      <c r="C257" s="392" t="s">
        <v>22</v>
      </c>
      <c r="D257" s="393"/>
      <c r="E257" s="394"/>
      <c r="F257" s="426" t="s">
        <v>24</v>
      </c>
      <c r="G257" s="426"/>
      <c r="H257" s="382" t="s">
        <v>33</v>
      </c>
      <c r="I257" s="382"/>
      <c r="J257" s="382"/>
      <c r="K257" s="382" t="s">
        <v>34</v>
      </c>
      <c r="L257" s="382"/>
      <c r="M257" s="382"/>
      <c r="N257" s="393" t="s">
        <v>35</v>
      </c>
      <c r="O257" s="393"/>
      <c r="P257" s="394"/>
    </row>
    <row r="258" spans="1:16" ht="42" customHeight="1">
      <c r="A258" s="409"/>
      <c r="B258" s="410"/>
      <c r="C258" s="395" t="s">
        <v>23</v>
      </c>
      <c r="D258" s="395" t="s">
        <v>23</v>
      </c>
      <c r="E258" s="395" t="s">
        <v>23</v>
      </c>
      <c r="F258" s="395" t="s">
        <v>23</v>
      </c>
      <c r="G258" s="395" t="s">
        <v>23</v>
      </c>
      <c r="H258" s="382" t="s">
        <v>30</v>
      </c>
      <c r="I258" s="382" t="s">
        <v>27</v>
      </c>
      <c r="J258" s="382"/>
      <c r="K258" s="403" t="s">
        <v>347</v>
      </c>
      <c r="L258" s="403" t="s">
        <v>348</v>
      </c>
      <c r="M258" s="405" t="s">
        <v>349</v>
      </c>
      <c r="N258" s="403" t="s">
        <v>347</v>
      </c>
      <c r="O258" s="403" t="s">
        <v>348</v>
      </c>
      <c r="P258" s="405" t="s">
        <v>349</v>
      </c>
    </row>
    <row r="259" spans="1:16" ht="13.5" customHeight="1">
      <c r="A259" s="406"/>
      <c r="B259" s="411"/>
      <c r="C259" s="395"/>
      <c r="D259" s="395"/>
      <c r="E259" s="395"/>
      <c r="F259" s="395"/>
      <c r="G259" s="395"/>
      <c r="H259" s="382"/>
      <c r="I259" s="292" t="s">
        <v>37</v>
      </c>
      <c r="J259" s="7" t="s">
        <v>28</v>
      </c>
      <c r="K259" s="404"/>
      <c r="L259" s="404"/>
      <c r="M259" s="406"/>
      <c r="N259" s="404"/>
      <c r="O259" s="404"/>
      <c r="P259" s="406"/>
    </row>
    <row r="260" spans="1:16" s="201" customFormat="1" ht="7.5">
      <c r="A260" s="427">
        <v>1</v>
      </c>
      <c r="B260" s="428"/>
      <c r="C260" s="293">
        <v>2</v>
      </c>
      <c r="D260" s="293">
        <v>3</v>
      </c>
      <c r="E260" s="293">
        <v>4</v>
      </c>
      <c r="F260" s="293">
        <v>5</v>
      </c>
      <c r="G260" s="293">
        <v>6</v>
      </c>
      <c r="H260" s="293">
        <v>7</v>
      </c>
      <c r="I260" s="293">
        <v>8</v>
      </c>
      <c r="J260" s="293">
        <v>9</v>
      </c>
      <c r="K260" s="293">
        <v>10</v>
      </c>
      <c r="L260" s="293">
        <v>11</v>
      </c>
      <c r="M260" s="293">
        <v>12</v>
      </c>
      <c r="N260" s="293">
        <v>13</v>
      </c>
      <c r="O260" s="293">
        <v>14</v>
      </c>
      <c r="P260" s="293">
        <v>15</v>
      </c>
    </row>
    <row r="261" spans="1:16" ht="27.75" customHeight="1">
      <c r="A261" s="413" t="str">
        <f>A243</f>
        <v xml:space="preserve">567010000131001520311788001000100001000101101 </v>
      </c>
      <c r="B261" s="391"/>
      <c r="C261" s="8"/>
      <c r="D261" s="8"/>
      <c r="E261" s="8"/>
      <c r="F261" s="8" t="s">
        <v>87</v>
      </c>
      <c r="G261" s="8"/>
      <c r="H261" s="10" t="s">
        <v>89</v>
      </c>
      <c r="I261" s="9" t="s">
        <v>90</v>
      </c>
      <c r="J261" s="8">
        <v>792</v>
      </c>
      <c r="K261" s="8">
        <f ca="1">'проверка 2017'!O4</f>
        <v>0</v>
      </c>
      <c r="L261" s="8">
        <f ca="1">'проверка 2018'!O4</f>
        <v>0</v>
      </c>
      <c r="M261" s="8">
        <f ca="1">'проверка 2019'!O4</f>
        <v>0</v>
      </c>
      <c r="N261" s="8">
        <f ca="1">'проверка 2017'!O33</f>
        <v>0</v>
      </c>
      <c r="O261" s="8">
        <f ca="1">'проверка 2018'!O29</f>
        <v>0</v>
      </c>
      <c r="P261" s="8">
        <f ca="1">'проверка 2019'!O29</f>
        <v>0</v>
      </c>
    </row>
    <row r="262" spans="1:16" ht="23.25">
      <c r="A262" s="413" t="str">
        <f>A244</f>
        <v xml:space="preserve">567010000131001520311788001000100005006101101 </v>
      </c>
      <c r="B262" s="391"/>
      <c r="C262" s="8"/>
      <c r="D262" s="8"/>
      <c r="E262" s="8"/>
      <c r="F262" s="10" t="s">
        <v>88</v>
      </c>
      <c r="G262" s="8"/>
      <c r="H262" s="10" t="s">
        <v>89</v>
      </c>
      <c r="I262" s="9" t="s">
        <v>90</v>
      </c>
      <c r="J262" s="8">
        <v>792</v>
      </c>
      <c r="K262" s="8"/>
      <c r="L262" s="8"/>
      <c r="M262" s="8"/>
      <c r="N262" s="8"/>
      <c r="O262" s="9"/>
      <c r="P262" s="9"/>
    </row>
    <row r="263" spans="1:16" hidden="1">
      <c r="A263" s="9"/>
      <c r="B263" s="9"/>
      <c r="C263" s="8"/>
      <c r="D263" s="8"/>
      <c r="E263" s="8"/>
      <c r="F263" s="8"/>
      <c r="G263" s="8"/>
      <c r="H263" s="9"/>
      <c r="I263" s="9"/>
      <c r="J263" s="8"/>
      <c r="K263" s="8"/>
      <c r="L263" s="8"/>
      <c r="M263" s="8"/>
      <c r="N263" s="8"/>
      <c r="O263" s="195"/>
      <c r="P263" s="196"/>
    </row>
    <row r="264" spans="1:16" hidden="1">
      <c r="A264" s="3"/>
      <c r="B264" s="3"/>
      <c r="C264" s="1"/>
      <c r="D264" s="1"/>
      <c r="E264" s="1"/>
      <c r="F264" s="1"/>
      <c r="G264" s="1"/>
      <c r="H264" s="3"/>
      <c r="I264" s="3"/>
      <c r="J264" s="1"/>
      <c r="K264" s="1"/>
      <c r="L264" s="1"/>
      <c r="M264" s="1"/>
      <c r="N264" s="1"/>
      <c r="O264" s="197"/>
      <c r="P264" s="198"/>
    </row>
    <row r="265" spans="1:16" hidden="1">
      <c r="A265" s="3"/>
      <c r="B265" s="3"/>
      <c r="C265" s="1"/>
      <c r="D265" s="1"/>
      <c r="E265" s="1"/>
      <c r="F265" s="1"/>
      <c r="G265" s="1"/>
      <c r="H265" s="3"/>
      <c r="I265" s="3"/>
      <c r="J265" s="1"/>
      <c r="K265" s="1"/>
      <c r="L265" s="1"/>
      <c r="M265" s="1"/>
      <c r="N265" s="1"/>
      <c r="O265" s="197"/>
      <c r="P265" s="198"/>
    </row>
    <row r="266" spans="1:16" hidden="1">
      <c r="A266" s="3"/>
      <c r="B266" s="3"/>
      <c r="C266" s="1"/>
      <c r="D266" s="1"/>
      <c r="E266" s="1"/>
      <c r="F266" s="1"/>
      <c r="G266" s="1"/>
      <c r="H266" s="3"/>
      <c r="I266" s="3"/>
      <c r="J266" s="1"/>
      <c r="K266" s="1"/>
      <c r="L266" s="1"/>
      <c r="M266" s="1"/>
      <c r="N266" s="1"/>
      <c r="O266" s="197"/>
      <c r="P266" s="198"/>
    </row>
    <row r="267" spans="1:16" hidden="1">
      <c r="A267" s="3"/>
      <c r="B267" s="3"/>
      <c r="C267" s="1"/>
      <c r="D267" s="1"/>
      <c r="E267" s="1"/>
      <c r="F267" s="1"/>
      <c r="G267" s="1"/>
      <c r="H267" s="3"/>
      <c r="I267" s="3"/>
      <c r="J267" s="1"/>
      <c r="K267" s="1"/>
      <c r="L267" s="1"/>
      <c r="M267" s="1"/>
      <c r="N267" s="1"/>
      <c r="O267" s="197"/>
      <c r="P267" s="198"/>
    </row>
    <row r="268" spans="1:16" hidden="1">
      <c r="A268" s="3"/>
      <c r="B268" s="3"/>
      <c r="C268" s="1"/>
      <c r="D268" s="1"/>
      <c r="E268" s="1"/>
      <c r="F268" s="1"/>
      <c r="G268" s="1"/>
      <c r="H268" s="3"/>
      <c r="I268" s="3"/>
      <c r="J268" s="1"/>
      <c r="K268" s="1"/>
      <c r="L268" s="1"/>
      <c r="M268" s="1"/>
      <c r="N268" s="1"/>
      <c r="O268" s="197"/>
      <c r="P268" s="198"/>
    </row>
    <row r="269" spans="1:16" ht="6" customHeight="1"/>
    <row r="270" spans="1:16">
      <c r="A270" s="4" t="s">
        <v>36</v>
      </c>
    </row>
    <row r="271" spans="1:16">
      <c r="A271" s="4" t="s">
        <v>32</v>
      </c>
      <c r="C271" s="369"/>
      <c r="D271" s="369"/>
    </row>
    <row r="272" spans="1:16" ht="6" customHeight="1">
      <c r="D272" s="194"/>
    </row>
    <row r="273" spans="1:16">
      <c r="A273" s="4" t="s">
        <v>42</v>
      </c>
    </row>
    <row r="274" spans="1:16" ht="8.25" customHeight="1"/>
    <row r="275" spans="1:16">
      <c r="A275" s="369" t="s">
        <v>47</v>
      </c>
      <c r="B275" s="369"/>
      <c r="C275" s="369"/>
      <c r="D275" s="369"/>
      <c r="E275" s="369"/>
      <c r="F275" s="369"/>
      <c r="G275" s="369"/>
      <c r="H275" s="369"/>
      <c r="I275" s="369"/>
      <c r="J275" s="369"/>
      <c r="K275" s="369"/>
      <c r="L275" s="369"/>
      <c r="M275" s="369"/>
      <c r="N275" s="369"/>
      <c r="O275" s="369"/>
      <c r="P275" s="369"/>
    </row>
    <row r="276" spans="1:16">
      <c r="A276" s="287" t="s">
        <v>43</v>
      </c>
      <c r="B276" s="369" t="s">
        <v>44</v>
      </c>
      <c r="C276" s="369"/>
      <c r="D276" s="369"/>
      <c r="E276" s="287" t="s">
        <v>45</v>
      </c>
      <c r="F276" s="287" t="s">
        <v>46</v>
      </c>
      <c r="G276" s="369" t="s">
        <v>29</v>
      </c>
      <c r="H276" s="369"/>
      <c r="I276" s="369"/>
      <c r="J276" s="369"/>
      <c r="K276" s="369"/>
      <c r="L276" s="369"/>
      <c r="M276" s="369"/>
      <c r="N276" s="369"/>
      <c r="O276" s="369"/>
      <c r="P276" s="369"/>
    </row>
    <row r="277" spans="1:16" s="201" customFormat="1" ht="7.5">
      <c r="A277" s="288">
        <v>1</v>
      </c>
      <c r="B277" s="414">
        <v>2</v>
      </c>
      <c r="C277" s="414"/>
      <c r="D277" s="414"/>
      <c r="E277" s="288">
        <v>3</v>
      </c>
      <c r="F277" s="288">
        <v>4</v>
      </c>
      <c r="G277" s="414">
        <v>5</v>
      </c>
      <c r="H277" s="414"/>
      <c r="I277" s="414"/>
      <c r="J277" s="414"/>
      <c r="K277" s="414"/>
      <c r="L277" s="414"/>
      <c r="M277" s="414"/>
      <c r="N277" s="414"/>
      <c r="O277" s="414"/>
      <c r="P277" s="414"/>
    </row>
    <row r="278" spans="1:16" s="190" customFormat="1" ht="33" customHeight="1">
      <c r="A278" s="7" t="s">
        <v>275</v>
      </c>
      <c r="B278" s="392" t="s">
        <v>276</v>
      </c>
      <c r="C278" s="393"/>
      <c r="D278" s="394"/>
      <c r="E278" s="199">
        <v>42705</v>
      </c>
      <c r="F278" s="7">
        <v>222</v>
      </c>
      <c r="G278" s="423" t="s">
        <v>350</v>
      </c>
      <c r="H278" s="424"/>
      <c r="I278" s="424"/>
      <c r="J278" s="424"/>
      <c r="K278" s="424"/>
      <c r="L278" s="424"/>
      <c r="M278" s="424"/>
      <c r="N278" s="424"/>
      <c r="O278" s="424"/>
      <c r="P278" s="425"/>
    </row>
    <row r="279" spans="1:16" s="190" customFormat="1" ht="11.25">
      <c r="A279" s="8"/>
      <c r="B279" s="412"/>
      <c r="C279" s="412"/>
      <c r="D279" s="412"/>
      <c r="E279" s="200"/>
      <c r="F279" s="8"/>
      <c r="G279" s="407"/>
      <c r="H279" s="407"/>
      <c r="I279" s="407"/>
      <c r="J279" s="407"/>
      <c r="K279" s="407"/>
      <c r="L279" s="407"/>
      <c r="M279" s="407"/>
      <c r="N279" s="407"/>
      <c r="O279" s="407"/>
      <c r="P279" s="407"/>
    </row>
    <row r="280" spans="1:16" s="190" customFormat="1" ht="11.25" hidden="1">
      <c r="A280" s="8"/>
      <c r="B280" s="412"/>
      <c r="C280" s="412"/>
      <c r="D280" s="412"/>
      <c r="E280" s="200"/>
      <c r="F280" s="8"/>
      <c r="G280" s="415"/>
      <c r="H280" s="416"/>
      <c r="I280" s="416"/>
      <c r="J280" s="416"/>
      <c r="K280" s="416"/>
      <c r="L280" s="416"/>
      <c r="M280" s="416"/>
      <c r="N280" s="416"/>
      <c r="O280" s="416"/>
      <c r="P280" s="417"/>
    </row>
    <row r="281" spans="1:16" s="190" customFormat="1" ht="11.25" hidden="1">
      <c r="A281" s="8"/>
      <c r="B281" s="412"/>
      <c r="C281" s="412"/>
      <c r="D281" s="412"/>
      <c r="E281" s="8"/>
      <c r="F281" s="8"/>
      <c r="G281" s="407"/>
      <c r="H281" s="407"/>
      <c r="I281" s="407"/>
      <c r="J281" s="407"/>
      <c r="K281" s="407"/>
      <c r="L281" s="407"/>
      <c r="M281" s="407"/>
      <c r="N281" s="407"/>
      <c r="O281" s="407"/>
      <c r="P281" s="407"/>
    </row>
    <row r="282" spans="1:16" ht="5.25" customHeight="1"/>
    <row r="283" spans="1:16">
      <c r="A283" s="4" t="s">
        <v>48</v>
      </c>
    </row>
    <row r="284" spans="1:16" ht="3" customHeight="1"/>
    <row r="285" spans="1:16">
      <c r="A285" s="4" t="s">
        <v>49</v>
      </c>
    </row>
    <row r="286" spans="1:16" ht="44.25" customHeight="1">
      <c r="A286" s="418"/>
      <c r="B286" s="418"/>
      <c r="C286" s="418"/>
      <c r="D286" s="418"/>
      <c r="E286" s="418"/>
      <c r="F286" s="418"/>
      <c r="G286" s="418"/>
      <c r="H286" s="418"/>
      <c r="I286" s="418"/>
      <c r="J286" s="418"/>
      <c r="K286" s="418"/>
      <c r="L286" s="418"/>
      <c r="M286" s="418"/>
      <c r="N286" s="418"/>
      <c r="O286" s="418"/>
      <c r="P286" s="418"/>
    </row>
    <row r="287" spans="1:16">
      <c r="A287" s="419" t="s">
        <v>50</v>
      </c>
      <c r="B287" s="419"/>
      <c r="C287" s="419"/>
      <c r="D287" s="419"/>
      <c r="E287" s="419"/>
      <c r="F287" s="419"/>
      <c r="G287" s="419"/>
      <c r="H287" s="419"/>
      <c r="I287" s="419"/>
      <c r="J287" s="419"/>
      <c r="K287" s="419"/>
      <c r="L287" s="419"/>
    </row>
    <row r="288" spans="1:16" ht="3.75" customHeight="1"/>
    <row r="289" spans="1:16">
      <c r="A289" s="4" t="s">
        <v>51</v>
      </c>
    </row>
    <row r="291" spans="1:16">
      <c r="A291" s="369" t="s">
        <v>52</v>
      </c>
      <c r="B291" s="369"/>
      <c r="C291" s="369"/>
      <c r="D291" s="369" t="s">
        <v>53</v>
      </c>
      <c r="E291" s="369"/>
      <c r="F291" s="369"/>
      <c r="G291" s="369"/>
      <c r="H291" s="369" t="s">
        <v>54</v>
      </c>
      <c r="I291" s="369"/>
      <c r="J291" s="369"/>
      <c r="K291" s="369"/>
    </row>
    <row r="292" spans="1:16" s="201" customFormat="1" ht="7.5">
      <c r="A292" s="414">
        <v>1</v>
      </c>
      <c r="B292" s="414"/>
      <c r="C292" s="414"/>
      <c r="D292" s="414">
        <v>2</v>
      </c>
      <c r="E292" s="414"/>
      <c r="F292" s="414"/>
      <c r="G292" s="414"/>
      <c r="H292" s="414">
        <v>3</v>
      </c>
      <c r="I292" s="414"/>
      <c r="J292" s="414"/>
      <c r="K292" s="414"/>
    </row>
    <row r="293" spans="1:16">
      <c r="A293" s="420" t="s">
        <v>283</v>
      </c>
      <c r="B293" s="421"/>
      <c r="C293" s="422"/>
      <c r="D293" s="383"/>
      <c r="E293" s="371"/>
      <c r="F293" s="371"/>
      <c r="G293" s="384"/>
      <c r="H293" s="383"/>
      <c r="I293" s="371"/>
      <c r="J293" s="371"/>
      <c r="K293" s="384"/>
    </row>
    <row r="294" spans="1:16" hidden="1">
      <c r="A294" s="383"/>
      <c r="B294" s="371"/>
      <c r="C294" s="384"/>
      <c r="D294" s="383"/>
      <c r="E294" s="371"/>
      <c r="F294" s="371"/>
      <c r="G294" s="384"/>
      <c r="H294" s="383"/>
      <c r="I294" s="371"/>
      <c r="J294" s="371"/>
      <c r="K294" s="384"/>
    </row>
    <row r="295" spans="1:16" hidden="1">
      <c r="A295" s="383"/>
      <c r="B295" s="371"/>
      <c r="C295" s="384"/>
      <c r="D295" s="383"/>
      <c r="E295" s="371"/>
      <c r="F295" s="371"/>
      <c r="G295" s="384"/>
      <c r="H295" s="383"/>
      <c r="I295" s="371"/>
      <c r="J295" s="371"/>
      <c r="K295" s="384"/>
    </row>
    <row r="296" spans="1:16">
      <c r="A296" s="373" t="s">
        <v>55</v>
      </c>
      <c r="B296" s="373"/>
      <c r="C296" s="373"/>
      <c r="D296" s="373"/>
      <c r="E296" s="373"/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</row>
    <row r="297" spans="1:16">
      <c r="A297" s="373" t="s">
        <v>282</v>
      </c>
      <c r="B297" s="373"/>
      <c r="C297" s="373"/>
      <c r="D297" s="373"/>
      <c r="E297" s="373"/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</row>
    <row r="298" spans="1:16" ht="9" customHeight="1"/>
    <row r="299" spans="1:16">
      <c r="A299" s="4" t="s">
        <v>56</v>
      </c>
      <c r="C299" s="429" t="s">
        <v>102</v>
      </c>
      <c r="D299" s="429"/>
      <c r="E299" s="429"/>
      <c r="F299" s="429"/>
      <c r="G299" s="429"/>
      <c r="H299" s="429"/>
      <c r="I299" s="429"/>
      <c r="J299" s="429"/>
      <c r="K299" s="429"/>
      <c r="L299" s="429"/>
      <c r="M299" s="296"/>
      <c r="N299" s="296" t="s">
        <v>14</v>
      </c>
      <c r="O299" s="369" t="s">
        <v>108</v>
      </c>
      <c r="P299" s="369"/>
    </row>
    <row r="300" spans="1:16" ht="47.25" customHeight="1">
      <c r="A300" s="430" t="s">
        <v>103</v>
      </c>
      <c r="B300" s="430"/>
      <c r="C300" s="430"/>
      <c r="D300" s="430"/>
      <c r="E300" s="430"/>
      <c r="F300" s="430"/>
      <c r="G300" s="430"/>
      <c r="H300" s="430"/>
      <c r="I300" s="430"/>
      <c r="J300" s="430"/>
      <c r="K300" s="430"/>
      <c r="L300" s="430"/>
      <c r="M300" s="431" t="s">
        <v>15</v>
      </c>
      <c r="N300" s="432"/>
      <c r="O300" s="369"/>
      <c r="P300" s="369"/>
    </row>
    <row r="301" spans="1:16">
      <c r="A301" s="4" t="s">
        <v>57</v>
      </c>
      <c r="D301" s="380" t="s">
        <v>104</v>
      </c>
      <c r="E301" s="380"/>
      <c r="F301" s="380"/>
      <c r="G301" s="380"/>
      <c r="H301" s="380"/>
      <c r="I301" s="380"/>
      <c r="J301" s="380"/>
      <c r="K301" s="380"/>
      <c r="L301" s="380"/>
      <c r="M301" s="380"/>
      <c r="N301" s="296" t="s">
        <v>16</v>
      </c>
      <c r="O301" s="369"/>
      <c r="P301" s="369"/>
    </row>
    <row r="302" spans="1:16">
      <c r="A302" s="433"/>
      <c r="B302" s="433"/>
      <c r="C302" s="433"/>
      <c r="D302" s="433"/>
      <c r="E302" s="433"/>
      <c r="F302" s="433"/>
      <c r="G302" s="433"/>
      <c r="H302" s="433"/>
      <c r="I302" s="433"/>
      <c r="J302" s="433"/>
      <c r="K302" s="433"/>
      <c r="L302" s="433"/>
      <c r="M302" s="433"/>
      <c r="N302" s="5"/>
    </row>
    <row r="303" spans="1:16" ht="5.25" customHeight="1">
      <c r="A303" s="295"/>
      <c r="B303" s="295"/>
      <c r="C303" s="295"/>
      <c r="D303" s="295"/>
      <c r="E303" s="295"/>
      <c r="F303" s="295"/>
      <c r="G303" s="295"/>
      <c r="H303" s="295"/>
      <c r="I303" s="295"/>
      <c r="J303" s="295"/>
      <c r="K303" s="295"/>
      <c r="L303" s="295"/>
      <c r="M303" s="295"/>
      <c r="N303" s="295"/>
    </row>
    <row r="304" spans="1:16">
      <c r="A304" s="4" t="s">
        <v>58</v>
      </c>
    </row>
    <row r="305" spans="1:16" ht="3.75" customHeight="1"/>
    <row r="306" spans="1:16">
      <c r="A306" s="4" t="s">
        <v>59</v>
      </c>
    </row>
    <row r="307" spans="1:16" ht="6" customHeight="1"/>
    <row r="308" spans="1:16" ht="39" customHeight="1">
      <c r="A308" s="382" t="s">
        <v>21</v>
      </c>
      <c r="B308" s="382"/>
      <c r="C308" s="392" t="s">
        <v>60</v>
      </c>
      <c r="D308" s="393"/>
      <c r="E308" s="394"/>
      <c r="F308" s="426" t="s">
        <v>61</v>
      </c>
      <c r="G308" s="426"/>
      <c r="H308" s="382" t="s">
        <v>62</v>
      </c>
      <c r="I308" s="382"/>
      <c r="J308" s="382"/>
      <c r="K308" s="382"/>
      <c r="L308" s="382"/>
      <c r="M308" s="392" t="s">
        <v>26</v>
      </c>
      <c r="N308" s="393"/>
      <c r="O308" s="394"/>
      <c r="P308" s="291"/>
    </row>
    <row r="309" spans="1:16" ht="24.75" customHeight="1">
      <c r="A309" s="382"/>
      <c r="B309" s="382"/>
      <c r="C309" s="434" t="s">
        <v>23</v>
      </c>
      <c r="D309" s="434" t="s">
        <v>23</v>
      </c>
      <c r="E309" s="434" t="s">
        <v>23</v>
      </c>
      <c r="F309" s="434" t="s">
        <v>23</v>
      </c>
      <c r="G309" s="434" t="s">
        <v>23</v>
      </c>
      <c r="H309" s="382" t="s">
        <v>30</v>
      </c>
      <c r="I309" s="382"/>
      <c r="J309" s="382" t="s">
        <v>27</v>
      </c>
      <c r="K309" s="382"/>
      <c r="L309" s="382"/>
      <c r="M309" s="385" t="s">
        <v>347</v>
      </c>
      <c r="N309" s="385" t="s">
        <v>348</v>
      </c>
      <c r="O309" s="385" t="s">
        <v>349</v>
      </c>
      <c r="P309" s="189"/>
    </row>
    <row r="310" spans="1:16" ht="26.25" customHeight="1">
      <c r="A310" s="382"/>
      <c r="B310" s="382"/>
      <c r="C310" s="434"/>
      <c r="D310" s="434"/>
      <c r="E310" s="434"/>
      <c r="F310" s="434"/>
      <c r="G310" s="434"/>
      <c r="H310" s="382"/>
      <c r="I310" s="382"/>
      <c r="J310" s="396" t="s">
        <v>29</v>
      </c>
      <c r="K310" s="397"/>
      <c r="L310" s="7" t="s">
        <v>28</v>
      </c>
      <c r="M310" s="386"/>
      <c r="N310" s="386"/>
      <c r="O310" s="386"/>
      <c r="P310" s="189"/>
    </row>
    <row r="311" spans="1:16" s="201" customFormat="1" ht="7.5">
      <c r="A311" s="387">
        <v>1</v>
      </c>
      <c r="B311" s="387"/>
      <c r="C311" s="293">
        <v>2</v>
      </c>
      <c r="D311" s="293">
        <v>3</v>
      </c>
      <c r="E311" s="293">
        <v>4</v>
      </c>
      <c r="F311" s="293">
        <v>5</v>
      </c>
      <c r="G311" s="293">
        <v>6</v>
      </c>
      <c r="H311" s="387">
        <v>7</v>
      </c>
      <c r="I311" s="387"/>
      <c r="J311" s="388">
        <v>8</v>
      </c>
      <c r="K311" s="389"/>
      <c r="L311" s="293">
        <v>9</v>
      </c>
      <c r="M311" s="293">
        <v>10</v>
      </c>
      <c r="N311" s="293">
        <v>11</v>
      </c>
      <c r="O311" s="293">
        <v>12</v>
      </c>
      <c r="P311" s="202"/>
    </row>
    <row r="312" spans="1:16" ht="54.75" customHeight="1">
      <c r="A312" s="390" t="s">
        <v>356</v>
      </c>
      <c r="B312" s="391"/>
      <c r="C312" s="1"/>
      <c r="D312" s="1"/>
      <c r="E312" s="1"/>
      <c r="F312" s="1"/>
      <c r="G312" s="1"/>
      <c r="H312" s="399" t="s">
        <v>105</v>
      </c>
      <c r="I312" s="400"/>
      <c r="J312" s="401" t="s">
        <v>95</v>
      </c>
      <c r="K312" s="402"/>
      <c r="L312" s="191">
        <v>744</v>
      </c>
      <c r="M312" s="314" t="s">
        <v>274</v>
      </c>
      <c r="N312" s="314" t="s">
        <v>274</v>
      </c>
      <c r="O312" s="314" t="s">
        <v>274</v>
      </c>
      <c r="P312" s="193"/>
    </row>
    <row r="313" spans="1:16" hidden="1">
      <c r="A313" s="383"/>
      <c r="B313" s="384"/>
      <c r="C313" s="1"/>
      <c r="D313" s="1"/>
      <c r="E313" s="1"/>
      <c r="F313" s="1"/>
      <c r="G313" s="1"/>
      <c r="H313" s="383"/>
      <c r="I313" s="384"/>
      <c r="J313" s="383"/>
      <c r="K313" s="384"/>
      <c r="L313" s="1"/>
      <c r="M313" s="8"/>
      <c r="N313" s="8"/>
      <c r="O313" s="290"/>
      <c r="P313" s="193"/>
    </row>
    <row r="314" spans="1:16" hidden="1">
      <c r="A314" s="383"/>
      <c r="B314" s="384"/>
      <c r="C314" s="1"/>
      <c r="D314" s="1"/>
      <c r="E314" s="1"/>
      <c r="F314" s="1"/>
      <c r="G314" s="1"/>
      <c r="H314" s="383"/>
      <c r="I314" s="384"/>
      <c r="J314" s="383"/>
      <c r="K314" s="384"/>
      <c r="L314" s="1"/>
      <c r="M314" s="8"/>
      <c r="N314" s="8"/>
      <c r="O314" s="290"/>
      <c r="P314" s="193"/>
    </row>
    <row r="315" spans="1:16" hidden="1">
      <c r="A315" s="383"/>
      <c r="B315" s="384"/>
      <c r="C315" s="1"/>
      <c r="D315" s="1"/>
      <c r="E315" s="1"/>
      <c r="F315" s="1"/>
      <c r="G315" s="1"/>
      <c r="H315" s="383"/>
      <c r="I315" s="384"/>
      <c r="J315" s="383"/>
      <c r="K315" s="384"/>
      <c r="L315" s="1"/>
      <c r="M315" s="8"/>
      <c r="N315" s="8"/>
      <c r="O315" s="290"/>
      <c r="P315" s="193"/>
    </row>
    <row r="316" spans="1:16" hidden="1">
      <c r="A316" s="383"/>
      <c r="B316" s="384"/>
      <c r="C316" s="1"/>
      <c r="D316" s="1"/>
      <c r="E316" s="1"/>
      <c r="F316" s="1"/>
      <c r="G316" s="1"/>
      <c r="H316" s="383"/>
      <c r="I316" s="384"/>
      <c r="J316" s="383"/>
      <c r="K316" s="384"/>
      <c r="L316" s="1"/>
      <c r="M316" s="8"/>
      <c r="N316" s="8"/>
      <c r="O316" s="290"/>
      <c r="P316" s="193"/>
    </row>
    <row r="317" spans="1:16" hidden="1">
      <c r="A317" s="383"/>
      <c r="B317" s="384"/>
      <c r="C317" s="1"/>
      <c r="D317" s="1"/>
      <c r="E317" s="1"/>
      <c r="F317" s="1"/>
      <c r="G317" s="1"/>
      <c r="H317" s="383"/>
      <c r="I317" s="384"/>
      <c r="J317" s="383"/>
      <c r="K317" s="384"/>
      <c r="L317" s="1"/>
      <c r="M317" s="8"/>
      <c r="N317" s="8"/>
      <c r="O317" s="290"/>
      <c r="P317" s="193"/>
    </row>
    <row r="318" spans="1:16" hidden="1">
      <c r="A318" s="383"/>
      <c r="B318" s="384"/>
      <c r="C318" s="1"/>
      <c r="D318" s="1"/>
      <c r="E318" s="1"/>
      <c r="F318" s="1"/>
      <c r="G318" s="1"/>
      <c r="H318" s="383"/>
      <c r="I318" s="384"/>
      <c r="J318" s="383"/>
      <c r="K318" s="384"/>
      <c r="L318" s="1"/>
      <c r="M318" s="8"/>
      <c r="N318" s="8"/>
      <c r="O318" s="290"/>
      <c r="P318" s="193"/>
    </row>
    <row r="319" spans="1:16" hidden="1">
      <c r="A319" s="383"/>
      <c r="B319" s="384"/>
      <c r="C319" s="1"/>
      <c r="D319" s="1"/>
      <c r="E319" s="1"/>
      <c r="F319" s="1"/>
      <c r="G319" s="1"/>
      <c r="H319" s="383"/>
      <c r="I319" s="384"/>
      <c r="J319" s="383"/>
      <c r="K319" s="384"/>
      <c r="L319" s="1"/>
      <c r="M319" s="8"/>
      <c r="N319" s="8"/>
      <c r="O319" s="290"/>
      <c r="P319" s="193"/>
    </row>
    <row r="320" spans="1:16" ht="7.5" customHeight="1"/>
    <row r="321" spans="1:16">
      <c r="A321" s="4" t="s">
        <v>63</v>
      </c>
    </row>
    <row r="322" spans="1:16">
      <c r="A322" s="4" t="s">
        <v>32</v>
      </c>
      <c r="C322" s="369"/>
      <c r="D322" s="369"/>
    </row>
    <row r="323" spans="1:16" ht="7.5" customHeight="1">
      <c r="D323" s="295"/>
    </row>
    <row r="324" spans="1:16" ht="6.75" customHeight="1"/>
    <row r="325" spans="1:16">
      <c r="A325" s="4" t="s">
        <v>64</v>
      </c>
    </row>
    <row r="326" spans="1:16" ht="6.75" customHeight="1"/>
    <row r="327" spans="1:16" ht="33" customHeight="1">
      <c r="A327" s="437" t="s">
        <v>21</v>
      </c>
      <c r="B327" s="438"/>
      <c r="C327" s="392" t="s">
        <v>60</v>
      </c>
      <c r="D327" s="393"/>
      <c r="E327" s="394"/>
      <c r="F327" s="426" t="s">
        <v>61</v>
      </c>
      <c r="G327" s="426"/>
      <c r="H327" s="445" t="s">
        <v>65</v>
      </c>
      <c r="I327" s="445"/>
      <c r="J327" s="445"/>
      <c r="K327" s="445" t="s">
        <v>66</v>
      </c>
      <c r="L327" s="445"/>
      <c r="M327" s="445"/>
      <c r="N327" s="435"/>
      <c r="O327" s="435"/>
      <c r="P327" s="435"/>
    </row>
    <row r="328" spans="1:16" ht="42" customHeight="1">
      <c r="A328" s="439"/>
      <c r="B328" s="440"/>
      <c r="C328" s="434" t="s">
        <v>23</v>
      </c>
      <c r="D328" s="434" t="s">
        <v>23</v>
      </c>
      <c r="E328" s="434" t="s">
        <v>23</v>
      </c>
      <c r="F328" s="434" t="s">
        <v>23</v>
      </c>
      <c r="G328" s="434" t="s">
        <v>23</v>
      </c>
      <c r="H328" s="445" t="s">
        <v>30</v>
      </c>
      <c r="I328" s="445" t="s">
        <v>27</v>
      </c>
      <c r="J328" s="445"/>
      <c r="K328" s="385" t="s">
        <v>347</v>
      </c>
      <c r="L328" s="385" t="s">
        <v>348</v>
      </c>
      <c r="M328" s="385" t="s">
        <v>349</v>
      </c>
      <c r="N328" s="435"/>
      <c r="O328" s="435"/>
      <c r="P328" s="435"/>
    </row>
    <row r="329" spans="1:16" ht="27.75" customHeight="1">
      <c r="A329" s="441"/>
      <c r="B329" s="442"/>
      <c r="C329" s="434"/>
      <c r="D329" s="434"/>
      <c r="E329" s="434"/>
      <c r="F329" s="434"/>
      <c r="G329" s="434"/>
      <c r="H329" s="445"/>
      <c r="I329" s="298" t="s">
        <v>37</v>
      </c>
      <c r="J329" s="2" t="s">
        <v>28</v>
      </c>
      <c r="K329" s="386"/>
      <c r="L329" s="386"/>
      <c r="M329" s="386"/>
      <c r="N329" s="435"/>
      <c r="O329" s="435"/>
      <c r="P329" s="435"/>
    </row>
    <row r="330" spans="1:16" s="201" customFormat="1" ht="7.5">
      <c r="A330" s="427">
        <v>1</v>
      </c>
      <c r="B330" s="428"/>
      <c r="C330" s="293">
        <v>2</v>
      </c>
      <c r="D330" s="293">
        <v>3</v>
      </c>
      <c r="E330" s="293">
        <v>4</v>
      </c>
      <c r="F330" s="293">
        <v>5</v>
      </c>
      <c r="G330" s="293">
        <v>6</v>
      </c>
      <c r="H330" s="293">
        <v>7</v>
      </c>
      <c r="I330" s="293">
        <v>8</v>
      </c>
      <c r="J330" s="293">
        <v>9</v>
      </c>
      <c r="K330" s="293">
        <v>10</v>
      </c>
      <c r="L330" s="293">
        <v>11</v>
      </c>
      <c r="M330" s="293">
        <v>12</v>
      </c>
      <c r="N330" s="204"/>
      <c r="O330" s="204"/>
      <c r="P330" s="204"/>
    </row>
    <row r="331" spans="1:16" ht="27" customHeight="1">
      <c r="A331" s="413" t="str">
        <f>A312</f>
        <v xml:space="preserve">567010000131001520311034100000000000005101101 </v>
      </c>
      <c r="B331" s="391"/>
      <c r="C331" s="1"/>
      <c r="D331" s="1"/>
      <c r="E331" s="1"/>
      <c r="F331" s="1"/>
      <c r="G331" s="1"/>
      <c r="H331" s="3" t="s">
        <v>106</v>
      </c>
      <c r="I331" s="3" t="s">
        <v>107</v>
      </c>
      <c r="J331" s="1">
        <v>796</v>
      </c>
      <c r="K331" s="1"/>
      <c r="L331" s="1"/>
      <c r="M331" s="1"/>
      <c r="N331" s="6"/>
      <c r="O331" s="5"/>
      <c r="P331" s="5"/>
    </row>
    <row r="332" spans="1:16" hidden="1">
      <c r="A332" s="3"/>
      <c r="B332" s="3"/>
      <c r="C332" s="1"/>
      <c r="D332" s="1"/>
      <c r="E332" s="1"/>
      <c r="F332" s="1"/>
      <c r="G332" s="1"/>
      <c r="H332" s="3"/>
      <c r="I332" s="3"/>
      <c r="J332" s="1"/>
      <c r="K332" s="1"/>
      <c r="L332" s="1"/>
      <c r="M332" s="1"/>
      <c r="N332" s="6"/>
      <c r="O332" s="5"/>
      <c r="P332" s="5"/>
    </row>
    <row r="333" spans="1:16" hidden="1">
      <c r="A333" s="3"/>
      <c r="B333" s="3"/>
      <c r="C333" s="1"/>
      <c r="D333" s="1"/>
      <c r="E333" s="1"/>
      <c r="F333" s="1"/>
      <c r="G333" s="1"/>
      <c r="H333" s="3"/>
      <c r="I333" s="3"/>
      <c r="J333" s="1"/>
      <c r="K333" s="1"/>
      <c r="L333" s="1"/>
      <c r="M333" s="1"/>
      <c r="N333" s="6"/>
      <c r="O333" s="5"/>
      <c r="P333" s="5"/>
    </row>
    <row r="334" spans="1:16" hidden="1">
      <c r="A334" s="3"/>
      <c r="B334" s="3"/>
      <c r="C334" s="1"/>
      <c r="D334" s="1"/>
      <c r="E334" s="1"/>
      <c r="F334" s="1"/>
      <c r="G334" s="1"/>
      <c r="H334" s="3"/>
      <c r="I334" s="3"/>
      <c r="J334" s="1"/>
      <c r="K334" s="1"/>
      <c r="L334" s="1"/>
      <c r="M334" s="1"/>
      <c r="N334" s="6"/>
      <c r="O334" s="5"/>
      <c r="P334" s="5"/>
    </row>
    <row r="335" spans="1:16" hidden="1">
      <c r="A335" s="3"/>
      <c r="B335" s="3"/>
      <c r="C335" s="1"/>
      <c r="D335" s="1"/>
      <c r="E335" s="1"/>
      <c r="F335" s="1"/>
      <c r="G335" s="1"/>
      <c r="H335" s="3"/>
      <c r="I335" s="3"/>
      <c r="J335" s="1"/>
      <c r="K335" s="1"/>
      <c r="L335" s="1"/>
      <c r="M335" s="1"/>
      <c r="N335" s="6"/>
      <c r="O335" s="5"/>
      <c r="P335" s="5"/>
    </row>
    <row r="336" spans="1:16" hidden="1">
      <c r="A336" s="3"/>
      <c r="B336" s="3"/>
      <c r="C336" s="1"/>
      <c r="D336" s="1"/>
      <c r="E336" s="1"/>
      <c r="F336" s="1"/>
      <c r="G336" s="1"/>
      <c r="H336" s="3"/>
      <c r="I336" s="3"/>
      <c r="J336" s="1"/>
      <c r="K336" s="1"/>
      <c r="L336" s="1"/>
      <c r="M336" s="1"/>
      <c r="N336" s="6"/>
      <c r="O336" s="5"/>
      <c r="P336" s="5"/>
    </row>
    <row r="337" spans="1:16" hidden="1">
      <c r="A337" s="3"/>
      <c r="B337" s="3"/>
      <c r="C337" s="1"/>
      <c r="D337" s="1"/>
      <c r="E337" s="1"/>
      <c r="F337" s="1"/>
      <c r="G337" s="1"/>
      <c r="H337" s="3"/>
      <c r="I337" s="3"/>
      <c r="J337" s="1"/>
      <c r="K337" s="1"/>
      <c r="L337" s="1"/>
      <c r="M337" s="1"/>
      <c r="N337" s="6"/>
      <c r="O337" s="5"/>
      <c r="P337" s="5"/>
    </row>
    <row r="338" spans="1:16" hidden="1">
      <c r="A338" s="3"/>
      <c r="B338" s="3"/>
      <c r="C338" s="1"/>
      <c r="D338" s="1"/>
      <c r="E338" s="1"/>
      <c r="F338" s="1"/>
      <c r="G338" s="1"/>
      <c r="H338" s="3"/>
      <c r="I338" s="3"/>
      <c r="J338" s="1"/>
      <c r="K338" s="1"/>
      <c r="L338" s="1"/>
      <c r="M338" s="1"/>
      <c r="N338" s="6"/>
      <c r="O338" s="5"/>
      <c r="P338" s="5"/>
    </row>
    <row r="339" spans="1:16" ht="9" customHeight="1"/>
    <row r="340" spans="1:16">
      <c r="A340" s="4" t="s">
        <v>67</v>
      </c>
    </row>
    <row r="341" spans="1:16">
      <c r="A341" s="4" t="s">
        <v>32</v>
      </c>
      <c r="C341" s="369"/>
      <c r="D341" s="369"/>
    </row>
    <row r="342" spans="1:16" ht="8.25" customHeight="1">
      <c r="D342" s="295"/>
    </row>
    <row r="343" spans="1:16" s="188" customFormat="1" ht="12.75">
      <c r="A343" s="187" t="s">
        <v>38</v>
      </c>
    </row>
    <row r="344" spans="1:16" s="188" customFormat="1" ht="12.75">
      <c r="A344" s="188" t="s">
        <v>39</v>
      </c>
    </row>
    <row r="345" spans="1:16" s="188" customFormat="1" ht="12.75">
      <c r="A345" s="188" t="s">
        <v>40</v>
      </c>
    </row>
    <row r="347" spans="1:16" hidden="1"/>
    <row r="348" spans="1:16" hidden="1"/>
    <row r="349" spans="1:16">
      <c r="A349" s="373" t="s">
        <v>68</v>
      </c>
      <c r="B349" s="373"/>
      <c r="C349" s="373"/>
      <c r="D349" s="373"/>
      <c r="E349" s="373"/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</row>
    <row r="350" spans="1:16" ht="9.75" customHeight="1">
      <c r="A350" s="294"/>
      <c r="B350" s="294"/>
      <c r="C350" s="294"/>
      <c r="D350" s="294"/>
      <c r="E350" s="294"/>
      <c r="F350" s="294"/>
      <c r="G350" s="294"/>
      <c r="H350" s="294"/>
      <c r="I350" s="294"/>
      <c r="J350" s="294"/>
      <c r="K350" s="294"/>
      <c r="L350" s="294"/>
      <c r="M350" s="294"/>
      <c r="N350" s="294"/>
      <c r="O350" s="294"/>
      <c r="P350" s="294"/>
    </row>
    <row r="351" spans="1:16">
      <c r="A351" s="443" t="s">
        <v>69</v>
      </c>
      <c r="B351" s="443"/>
      <c r="C351" s="443"/>
      <c r="D351" s="443"/>
      <c r="E351" s="443"/>
      <c r="F351" s="443"/>
      <c r="G351" s="443"/>
      <c r="H351" s="443"/>
      <c r="I351" s="297"/>
      <c r="J351" s="297"/>
      <c r="K351" s="297"/>
      <c r="L351" s="297"/>
      <c r="M351" s="297"/>
      <c r="N351" s="297"/>
      <c r="O351" s="297"/>
      <c r="P351" s="294"/>
    </row>
    <row r="352" spans="1:16">
      <c r="A352" s="433"/>
      <c r="B352" s="433"/>
      <c r="C352" s="433"/>
      <c r="D352" s="433"/>
      <c r="E352" s="433"/>
      <c r="F352" s="433"/>
      <c r="G352" s="433"/>
      <c r="H352" s="433"/>
      <c r="I352" s="433"/>
      <c r="J352" s="433"/>
      <c r="K352" s="433"/>
      <c r="L352" s="433"/>
      <c r="M352" s="433"/>
      <c r="N352" s="433"/>
      <c r="O352" s="433"/>
      <c r="P352" s="294"/>
    </row>
    <row r="353" spans="1:16" ht="6" customHeight="1">
      <c r="A353" s="294"/>
      <c r="B353" s="294"/>
      <c r="C353" s="294"/>
      <c r="D353" s="294"/>
      <c r="E353" s="294"/>
      <c r="F353" s="294"/>
      <c r="G353" s="294"/>
      <c r="H353" s="294"/>
      <c r="I353" s="294"/>
      <c r="J353" s="294"/>
      <c r="K353" s="294"/>
      <c r="L353" s="294"/>
      <c r="M353" s="294"/>
      <c r="N353" s="294"/>
      <c r="O353" s="294"/>
      <c r="P353" s="294"/>
    </row>
    <row r="354" spans="1:16">
      <c r="A354" s="299" t="s">
        <v>70</v>
      </c>
      <c r="B354" s="294"/>
      <c r="C354" s="294"/>
      <c r="D354" s="294"/>
      <c r="E354" s="294"/>
      <c r="F354" s="294"/>
      <c r="G354" s="294"/>
      <c r="H354" s="294"/>
      <c r="I354" s="294"/>
      <c r="J354" s="433"/>
      <c r="K354" s="433"/>
      <c r="L354" s="433"/>
      <c r="M354" s="433"/>
      <c r="N354" s="433"/>
      <c r="O354" s="433"/>
      <c r="P354" s="294"/>
    </row>
    <row r="355" spans="1:16">
      <c r="A355" s="433"/>
      <c r="B355" s="433"/>
      <c r="C355" s="433"/>
      <c r="D355" s="433"/>
      <c r="E355" s="433"/>
      <c r="F355" s="433"/>
      <c r="G355" s="433"/>
      <c r="H355" s="433"/>
      <c r="I355" s="433"/>
      <c r="J355" s="433"/>
      <c r="K355" s="433"/>
      <c r="L355" s="433"/>
      <c r="M355" s="433"/>
      <c r="N355" s="433"/>
      <c r="O355" s="433"/>
      <c r="P355" s="294"/>
    </row>
    <row r="356" spans="1:16" ht="6" customHeight="1">
      <c r="A356" s="294"/>
      <c r="B356" s="294"/>
      <c r="C356" s="294"/>
      <c r="D356" s="294"/>
      <c r="E356" s="294"/>
      <c r="F356" s="294"/>
      <c r="G356" s="294"/>
      <c r="H356" s="294"/>
      <c r="I356" s="294"/>
      <c r="J356" s="294"/>
      <c r="K356" s="294"/>
      <c r="L356" s="294"/>
      <c r="M356" s="294"/>
      <c r="N356" s="294"/>
      <c r="O356" s="294"/>
      <c r="P356" s="294"/>
    </row>
    <row r="357" spans="1:16">
      <c r="A357" s="4" t="s">
        <v>284</v>
      </c>
    </row>
    <row r="358" spans="1:16" ht="5.25" customHeight="1"/>
    <row r="359" spans="1:16" ht="30" customHeight="1">
      <c r="A359" s="369" t="s">
        <v>71</v>
      </c>
      <c r="B359" s="369"/>
      <c r="C359" s="369"/>
      <c r="D359" s="369" t="s">
        <v>72</v>
      </c>
      <c r="E359" s="369"/>
      <c r="F359" s="369"/>
      <c r="G359" s="369"/>
      <c r="H359" s="444" t="s">
        <v>73</v>
      </c>
      <c r="I359" s="444"/>
      <c r="J359" s="444"/>
      <c r="K359" s="444"/>
      <c r="L359" s="444"/>
      <c r="M359" s="444"/>
    </row>
    <row r="360" spans="1:16">
      <c r="A360" s="446">
        <v>1</v>
      </c>
      <c r="B360" s="446"/>
      <c r="C360" s="446"/>
      <c r="D360" s="446">
        <v>2</v>
      </c>
      <c r="E360" s="446"/>
      <c r="F360" s="446"/>
      <c r="G360" s="446"/>
      <c r="H360" s="446">
        <v>3</v>
      </c>
      <c r="I360" s="446"/>
      <c r="J360" s="446"/>
      <c r="K360" s="446"/>
      <c r="L360" s="446"/>
      <c r="M360" s="446"/>
    </row>
    <row r="361" spans="1:16">
      <c r="A361" s="436"/>
      <c r="B361" s="433"/>
      <c r="C361" s="398"/>
      <c r="D361" s="436"/>
      <c r="E361" s="433"/>
      <c r="F361" s="433"/>
      <c r="G361" s="398"/>
      <c r="H361" s="369"/>
      <c r="I361" s="369"/>
      <c r="J361" s="369"/>
      <c r="K361" s="369"/>
      <c r="L361" s="369"/>
      <c r="M361" s="369"/>
    </row>
    <row r="362" spans="1:16">
      <c r="A362" s="383"/>
      <c r="B362" s="371"/>
      <c r="C362" s="384"/>
      <c r="D362" s="383"/>
      <c r="E362" s="371"/>
      <c r="F362" s="371"/>
      <c r="G362" s="384"/>
      <c r="H362" s="369"/>
      <c r="I362" s="369"/>
      <c r="J362" s="369"/>
      <c r="K362" s="369"/>
      <c r="L362" s="369"/>
      <c r="M362" s="369"/>
    </row>
    <row r="364" spans="1:16" hidden="1"/>
    <row r="365" spans="1:16">
      <c r="A365" s="188" t="s">
        <v>74</v>
      </c>
      <c r="B365" s="188"/>
      <c r="C365" s="188"/>
      <c r="D365" s="188"/>
      <c r="E365" s="188"/>
      <c r="F365" s="188"/>
      <c r="G365" s="205"/>
      <c r="H365" s="205"/>
      <c r="I365" s="205"/>
      <c r="J365" s="205"/>
      <c r="K365" s="205"/>
      <c r="L365" s="205"/>
      <c r="M365" s="205"/>
      <c r="N365" s="205"/>
      <c r="O365" s="205"/>
    </row>
    <row r="366" spans="1:16">
      <c r="A366" s="188" t="s">
        <v>75</v>
      </c>
      <c r="B366" s="188"/>
      <c r="C366" s="188"/>
      <c r="D366" s="188"/>
      <c r="E366" s="188"/>
      <c r="F366" s="188"/>
      <c r="G366" s="188"/>
      <c r="H366" s="205"/>
      <c r="I366" s="205" t="s">
        <v>345</v>
      </c>
      <c r="J366" s="205"/>
      <c r="K366" s="205"/>
      <c r="L366" s="205"/>
      <c r="M366" s="205"/>
      <c r="N366" s="205"/>
      <c r="O366" s="205"/>
    </row>
    <row r="367" spans="1:16" ht="54.75" customHeight="1">
      <c r="A367" s="301" t="s">
        <v>76</v>
      </c>
      <c r="B367" s="301"/>
      <c r="C367" s="301"/>
      <c r="D367" s="301"/>
      <c r="E367" s="301"/>
      <c r="F367" s="301"/>
      <c r="G367" s="302"/>
      <c r="H367" s="447" t="s">
        <v>346</v>
      </c>
      <c r="I367" s="447"/>
      <c r="J367" s="447"/>
      <c r="K367" s="447"/>
      <c r="L367" s="447"/>
      <c r="M367" s="447"/>
      <c r="N367" s="447"/>
      <c r="O367" s="447"/>
      <c r="P367" s="447"/>
    </row>
    <row r="368" spans="1:16">
      <c r="A368" s="188" t="s">
        <v>77</v>
      </c>
      <c r="B368" s="188"/>
      <c r="C368" s="188"/>
      <c r="D368" s="188"/>
      <c r="E368" s="188"/>
      <c r="F368" s="188"/>
      <c r="G368" s="289"/>
      <c r="H368" s="289"/>
      <c r="I368" s="289"/>
      <c r="J368" s="289"/>
      <c r="K368" s="289"/>
      <c r="L368" s="289"/>
      <c r="M368" s="289"/>
      <c r="N368" s="289"/>
      <c r="O368" s="289"/>
    </row>
    <row r="369" spans="1:15">
      <c r="A369" s="205"/>
      <c r="B369" s="205"/>
      <c r="C369" s="205"/>
      <c r="D369" s="205"/>
      <c r="E369" s="205"/>
      <c r="F369" s="205"/>
      <c r="G369" s="205"/>
      <c r="H369" s="205"/>
      <c r="I369" s="205"/>
      <c r="J369" s="205"/>
      <c r="K369" s="205"/>
      <c r="L369" s="205"/>
      <c r="M369" s="205"/>
      <c r="N369" s="205"/>
      <c r="O369" s="205"/>
    </row>
    <row r="370" spans="1:15">
      <c r="A370" s="188"/>
      <c r="B370" s="188"/>
      <c r="C370" s="188"/>
      <c r="D370" s="188"/>
      <c r="E370" s="188"/>
      <c r="F370" s="188"/>
      <c r="G370" s="188"/>
      <c r="H370" s="188"/>
      <c r="I370" s="188"/>
      <c r="J370" s="188"/>
      <c r="K370" s="188"/>
      <c r="L370" s="188"/>
      <c r="M370" s="188"/>
      <c r="N370" s="188"/>
      <c r="O370" s="188"/>
    </row>
    <row r="371" spans="1:15">
      <c r="A371" s="188" t="s">
        <v>78</v>
      </c>
      <c r="B371" s="188"/>
      <c r="C371" s="188"/>
      <c r="D371" s="188"/>
      <c r="E371" s="188"/>
      <c r="F371" s="188"/>
      <c r="G371" s="205"/>
      <c r="H371" s="205"/>
      <c r="I371" s="205"/>
      <c r="J371" s="205"/>
      <c r="K371" s="205"/>
      <c r="L371" s="205"/>
      <c r="M371" s="205"/>
      <c r="N371" s="205"/>
      <c r="O371" s="205"/>
    </row>
    <row r="372" spans="1:15">
      <c r="A372" s="433"/>
      <c r="B372" s="433"/>
      <c r="C372" s="433"/>
      <c r="D372" s="433"/>
      <c r="E372" s="433"/>
      <c r="F372" s="433"/>
      <c r="G372" s="433"/>
      <c r="H372" s="433"/>
      <c r="I372" s="433"/>
      <c r="J372" s="433"/>
      <c r="K372" s="433"/>
      <c r="L372" s="433"/>
      <c r="M372" s="433"/>
      <c r="N372" s="433"/>
      <c r="O372" s="433"/>
    </row>
    <row r="373" spans="1:15" ht="13.5" customHeight="1"/>
    <row r="374" spans="1:15" hidden="1"/>
    <row r="375" spans="1:15" hidden="1"/>
    <row r="376" spans="1:15" s="188" customFormat="1" ht="12.75">
      <c r="A376" s="187" t="s">
        <v>79</v>
      </c>
    </row>
    <row r="377" spans="1:15" s="188" customFormat="1" ht="12.75">
      <c r="A377" s="188" t="s">
        <v>80</v>
      </c>
    </row>
    <row r="378" spans="1:15" s="188" customFormat="1" ht="12.75">
      <c r="A378" s="188" t="s">
        <v>81</v>
      </c>
    </row>
    <row r="379" spans="1:15" s="188" customFormat="1" ht="12.75">
      <c r="A379" s="188" t="s">
        <v>82</v>
      </c>
    </row>
    <row r="380" spans="1:15" s="188" customFormat="1" ht="12.75">
      <c r="A380" s="188" t="s">
        <v>83</v>
      </c>
    </row>
  </sheetData>
  <mergeCells count="543">
    <mergeCell ref="A372:O372"/>
    <mergeCell ref="A360:C360"/>
    <mergeCell ref="D360:G360"/>
    <mergeCell ref="H360:M360"/>
    <mergeCell ref="A361:C361"/>
    <mergeCell ref="A362:C362"/>
    <mergeCell ref="H362:M362"/>
    <mergeCell ref="D362:G362"/>
    <mergeCell ref="H367:P367"/>
    <mergeCell ref="C322:D322"/>
    <mergeCell ref="C327:E327"/>
    <mergeCell ref="F327:G327"/>
    <mergeCell ref="O328:O329"/>
    <mergeCell ref="K328:K329"/>
    <mergeCell ref="L328:L329"/>
    <mergeCell ref="H328:H329"/>
    <mergeCell ref="I328:J328"/>
    <mergeCell ref="H327:J327"/>
    <mergeCell ref="K327:M327"/>
    <mergeCell ref="A352:O352"/>
    <mergeCell ref="J354:O354"/>
    <mergeCell ref="D359:G359"/>
    <mergeCell ref="A355:O355"/>
    <mergeCell ref="A359:C359"/>
    <mergeCell ref="A330:B330"/>
    <mergeCell ref="A331:B331"/>
    <mergeCell ref="D328:D329"/>
    <mergeCell ref="G328:G329"/>
    <mergeCell ref="M328:M329"/>
    <mergeCell ref="J315:K315"/>
    <mergeCell ref="H361:M361"/>
    <mergeCell ref="A327:B329"/>
    <mergeCell ref="C341:D341"/>
    <mergeCell ref="A349:P349"/>
    <mergeCell ref="A351:H351"/>
    <mergeCell ref="H359:M359"/>
    <mergeCell ref="A311:B311"/>
    <mergeCell ref="H311:I311"/>
    <mergeCell ref="A318:B318"/>
    <mergeCell ref="P328:P329"/>
    <mergeCell ref="F328:F329"/>
    <mergeCell ref="D361:G361"/>
    <mergeCell ref="N327:P327"/>
    <mergeCell ref="E328:E329"/>
    <mergeCell ref="N328:N329"/>
    <mergeCell ref="C328:C329"/>
    <mergeCell ref="A313:B313"/>
    <mergeCell ref="A319:B319"/>
    <mergeCell ref="H312:I312"/>
    <mergeCell ref="H319:I319"/>
    <mergeCell ref="A314:B314"/>
    <mergeCell ref="H314:I314"/>
    <mergeCell ref="H313:I313"/>
    <mergeCell ref="A315:B315"/>
    <mergeCell ref="J314:K314"/>
    <mergeCell ref="H316:I316"/>
    <mergeCell ref="J319:K319"/>
    <mergeCell ref="J316:K316"/>
    <mergeCell ref="J317:K317"/>
    <mergeCell ref="J318:K318"/>
    <mergeCell ref="H317:I317"/>
    <mergeCell ref="H318:I318"/>
    <mergeCell ref="A316:B316"/>
    <mergeCell ref="A317:B317"/>
    <mergeCell ref="N309:N310"/>
    <mergeCell ref="O309:O310"/>
    <mergeCell ref="J311:K311"/>
    <mergeCell ref="J310:K310"/>
    <mergeCell ref="J313:K313"/>
    <mergeCell ref="J312:K312"/>
    <mergeCell ref="A312:B312"/>
    <mergeCell ref="H315:I315"/>
    <mergeCell ref="M309:M310"/>
    <mergeCell ref="J309:L309"/>
    <mergeCell ref="H309:I310"/>
    <mergeCell ref="C309:C310"/>
    <mergeCell ref="D309:D310"/>
    <mergeCell ref="G309:G310"/>
    <mergeCell ref="F309:F310"/>
    <mergeCell ref="E309:E310"/>
    <mergeCell ref="M308:O308"/>
    <mergeCell ref="A296:P296"/>
    <mergeCell ref="A297:P297"/>
    <mergeCell ref="A295:C295"/>
    <mergeCell ref="D295:G295"/>
    <mergeCell ref="H295:K295"/>
    <mergeCell ref="A308:B310"/>
    <mergeCell ref="H293:K293"/>
    <mergeCell ref="A294:C294"/>
    <mergeCell ref="C308:E308"/>
    <mergeCell ref="F308:G308"/>
    <mergeCell ref="H308:L308"/>
    <mergeCell ref="C299:L299"/>
    <mergeCell ref="O299:P301"/>
    <mergeCell ref="A300:L300"/>
    <mergeCell ref="M300:N300"/>
    <mergeCell ref="D301:M301"/>
    <mergeCell ref="A302:M302"/>
    <mergeCell ref="D294:G294"/>
    <mergeCell ref="H294:K294"/>
    <mergeCell ref="A291:C291"/>
    <mergeCell ref="D291:G291"/>
    <mergeCell ref="H291:K291"/>
    <mergeCell ref="A292:C292"/>
    <mergeCell ref="D292:G292"/>
    <mergeCell ref="H292:K292"/>
    <mergeCell ref="A293:C293"/>
    <mergeCell ref="D293:G293"/>
    <mergeCell ref="A286:P286"/>
    <mergeCell ref="A287:L287"/>
    <mergeCell ref="G276:P276"/>
    <mergeCell ref="B277:D277"/>
    <mergeCell ref="G277:P277"/>
    <mergeCell ref="B280:D280"/>
    <mergeCell ref="G280:P280"/>
    <mergeCell ref="B279:D279"/>
    <mergeCell ref="G279:P279"/>
    <mergeCell ref="B278:D278"/>
    <mergeCell ref="A260:B260"/>
    <mergeCell ref="A261:B261"/>
    <mergeCell ref="A262:B262"/>
    <mergeCell ref="C271:D271"/>
    <mergeCell ref="B281:D281"/>
    <mergeCell ref="G281:P281"/>
    <mergeCell ref="G278:P278"/>
    <mergeCell ref="A275:P275"/>
    <mergeCell ref="B276:D276"/>
    <mergeCell ref="M258:M259"/>
    <mergeCell ref="N257:P257"/>
    <mergeCell ref="H258:H259"/>
    <mergeCell ref="I258:J258"/>
    <mergeCell ref="L258:L259"/>
    <mergeCell ref="N258:N259"/>
    <mergeCell ref="O258:O259"/>
    <mergeCell ref="P258:P259"/>
    <mergeCell ref="K258:K259"/>
    <mergeCell ref="H257:J257"/>
    <mergeCell ref="E258:E259"/>
    <mergeCell ref="C257:E257"/>
    <mergeCell ref="C258:C259"/>
    <mergeCell ref="D258:D259"/>
    <mergeCell ref="G258:G259"/>
    <mergeCell ref="F258:F259"/>
    <mergeCell ref="F257:G257"/>
    <mergeCell ref="A242:B242"/>
    <mergeCell ref="H242:I242"/>
    <mergeCell ref="A245:B245"/>
    <mergeCell ref="H245:I245"/>
    <mergeCell ref="A243:B243"/>
    <mergeCell ref="A244:B244"/>
    <mergeCell ref="A257:B259"/>
    <mergeCell ref="A246:B246"/>
    <mergeCell ref="C253:D253"/>
    <mergeCell ref="K257:M257"/>
    <mergeCell ref="O246:P246"/>
    <mergeCell ref="A250:B250"/>
    <mergeCell ref="H250:I250"/>
    <mergeCell ref="J250:K250"/>
    <mergeCell ref="O248:P248"/>
    <mergeCell ref="O250:P250"/>
    <mergeCell ref="A249:B249"/>
    <mergeCell ref="O247:P247"/>
    <mergeCell ref="O249:P249"/>
    <mergeCell ref="J249:K249"/>
    <mergeCell ref="A248:B248"/>
    <mergeCell ref="A247:B247"/>
    <mergeCell ref="H247:I247"/>
    <mergeCell ref="J247:K247"/>
    <mergeCell ref="J248:K248"/>
    <mergeCell ref="H248:I248"/>
    <mergeCell ref="H249:I249"/>
    <mergeCell ref="H246:I246"/>
    <mergeCell ref="J246:K246"/>
    <mergeCell ref="H243:I243"/>
    <mergeCell ref="J243:K243"/>
    <mergeCell ref="H244:I244"/>
    <mergeCell ref="J244:K244"/>
    <mergeCell ref="O245:P245"/>
    <mergeCell ref="M240:M241"/>
    <mergeCell ref="E230:L230"/>
    <mergeCell ref="A226:C226"/>
    <mergeCell ref="D226:G226"/>
    <mergeCell ref="H226:K226"/>
    <mergeCell ref="A227:C227"/>
    <mergeCell ref="J242:K242"/>
    <mergeCell ref="H240:I241"/>
    <mergeCell ref="G240:G241"/>
    <mergeCell ref="M239:O239"/>
    <mergeCell ref="N240:N241"/>
    <mergeCell ref="O240:O241"/>
    <mergeCell ref="F240:F241"/>
    <mergeCell ref="A223:C223"/>
    <mergeCell ref="D223:G223"/>
    <mergeCell ref="H223:K223"/>
    <mergeCell ref="J240:L240"/>
    <mergeCell ref="J241:K241"/>
    <mergeCell ref="C240:C241"/>
    <mergeCell ref="D240:D241"/>
    <mergeCell ref="E240:E241"/>
    <mergeCell ref="J245:K245"/>
    <mergeCell ref="A228:P228"/>
    <mergeCell ref="A233:N233"/>
    <mergeCell ref="A239:B241"/>
    <mergeCell ref="C239:E239"/>
    <mergeCell ref="F239:G239"/>
    <mergeCell ref="H239:L239"/>
    <mergeCell ref="O230:P232"/>
    <mergeCell ref="A231:L231"/>
    <mergeCell ref="A224:C224"/>
    <mergeCell ref="D224:G224"/>
    <mergeCell ref="H224:K224"/>
    <mergeCell ref="A225:C225"/>
    <mergeCell ref="D225:G225"/>
    <mergeCell ref="H225:K225"/>
    <mergeCell ref="D227:G227"/>
    <mergeCell ref="H227:K227"/>
    <mergeCell ref="B210:D210"/>
    <mergeCell ref="N189:P189"/>
    <mergeCell ref="H190:H191"/>
    <mergeCell ref="I190:J190"/>
    <mergeCell ref="L190:L191"/>
    <mergeCell ref="H189:J189"/>
    <mergeCell ref="K189:M189"/>
    <mergeCell ref="C203:D203"/>
    <mergeCell ref="A218:P218"/>
    <mergeCell ref="A219:L219"/>
    <mergeCell ref="G190:G191"/>
    <mergeCell ref="A189:B191"/>
    <mergeCell ref="C189:E189"/>
    <mergeCell ref="G210:P210"/>
    <mergeCell ref="G208:P208"/>
    <mergeCell ref="B209:D209"/>
    <mergeCell ref="G209:P209"/>
    <mergeCell ref="P190:P191"/>
    <mergeCell ref="A193:B193"/>
    <mergeCell ref="A194:B194"/>
    <mergeCell ref="F190:F191"/>
    <mergeCell ref="M190:M191"/>
    <mergeCell ref="B212:D212"/>
    <mergeCell ref="G212:P212"/>
    <mergeCell ref="B211:D211"/>
    <mergeCell ref="G211:P211"/>
    <mergeCell ref="A207:P207"/>
    <mergeCell ref="B208:D208"/>
    <mergeCell ref="J180:K180"/>
    <mergeCell ref="A181:B181"/>
    <mergeCell ref="H181:I181"/>
    <mergeCell ref="J181:K181"/>
    <mergeCell ref="B213:D213"/>
    <mergeCell ref="G213:P213"/>
    <mergeCell ref="N190:N191"/>
    <mergeCell ref="O190:O191"/>
    <mergeCell ref="K190:K191"/>
    <mergeCell ref="A192:B192"/>
    <mergeCell ref="C190:C191"/>
    <mergeCell ref="D190:D191"/>
    <mergeCell ref="E190:E191"/>
    <mergeCell ref="C185:D185"/>
    <mergeCell ref="A180:B180"/>
    <mergeCell ref="H180:I180"/>
    <mergeCell ref="J179:K179"/>
    <mergeCell ref="O172:O173"/>
    <mergeCell ref="J174:K174"/>
    <mergeCell ref="H177:I177"/>
    <mergeCell ref="J177:K177"/>
    <mergeCell ref="H178:I178"/>
    <mergeCell ref="J178:K178"/>
    <mergeCell ref="H179:I179"/>
    <mergeCell ref="O177:P177"/>
    <mergeCell ref="C172:C173"/>
    <mergeCell ref="D172:D173"/>
    <mergeCell ref="E172:E173"/>
    <mergeCell ref="A177:B177"/>
    <mergeCell ref="A176:B176"/>
    <mergeCell ref="F189:G189"/>
    <mergeCell ref="A178:B178"/>
    <mergeCell ref="O179:P179"/>
    <mergeCell ref="O178:P178"/>
    <mergeCell ref="A182:B182"/>
    <mergeCell ref="H182:I182"/>
    <mergeCell ref="J182:K182"/>
    <mergeCell ref="O180:P180"/>
    <mergeCell ref="O182:P182"/>
    <mergeCell ref="O181:P181"/>
    <mergeCell ref="A179:B179"/>
    <mergeCell ref="M172:M173"/>
    <mergeCell ref="F171:G171"/>
    <mergeCell ref="H171:L171"/>
    <mergeCell ref="F172:F173"/>
    <mergeCell ref="G172:G173"/>
    <mergeCell ref="H172:I173"/>
    <mergeCell ref="J172:L172"/>
    <mergeCell ref="H176:I176"/>
    <mergeCell ref="J176:K176"/>
    <mergeCell ref="A165:N165"/>
    <mergeCell ref="A171:B173"/>
    <mergeCell ref="C171:E171"/>
    <mergeCell ref="M171:O171"/>
    <mergeCell ref="A175:B175"/>
    <mergeCell ref="H175:I175"/>
    <mergeCell ref="J175:K175"/>
    <mergeCell ref="A174:B174"/>
    <mergeCell ref="D156:G156"/>
    <mergeCell ref="H156:K156"/>
    <mergeCell ref="A157:C157"/>
    <mergeCell ref="D157:G157"/>
    <mergeCell ref="H174:I174"/>
    <mergeCell ref="A160:P160"/>
    <mergeCell ref="O162:P164"/>
    <mergeCell ref="A163:L163"/>
    <mergeCell ref="N172:N173"/>
    <mergeCell ref="J173:K173"/>
    <mergeCell ref="A159:C159"/>
    <mergeCell ref="D159:G159"/>
    <mergeCell ref="H159:K159"/>
    <mergeCell ref="B143:D143"/>
    <mergeCell ref="G143:P143"/>
    <mergeCell ref="H157:K157"/>
    <mergeCell ref="A158:C158"/>
    <mergeCell ref="D158:G158"/>
    <mergeCell ref="H158:K158"/>
    <mergeCell ref="A156:C156"/>
    <mergeCell ref="B144:D144"/>
    <mergeCell ref="E162:L162"/>
    <mergeCell ref="G144:P144"/>
    <mergeCell ref="A155:C155"/>
    <mergeCell ref="D155:G155"/>
    <mergeCell ref="H155:K155"/>
    <mergeCell ref="B145:D145"/>
    <mergeCell ref="G145:P145"/>
    <mergeCell ref="A150:P150"/>
    <mergeCell ref="A151:L151"/>
    <mergeCell ref="A124:B124"/>
    <mergeCell ref="A125:B125"/>
    <mergeCell ref="A126:B126"/>
    <mergeCell ref="C135:D135"/>
    <mergeCell ref="B142:D142"/>
    <mergeCell ref="G140:P140"/>
    <mergeCell ref="B141:D141"/>
    <mergeCell ref="G141:P141"/>
    <mergeCell ref="G142:P142"/>
    <mergeCell ref="A139:P139"/>
    <mergeCell ref="B140:D140"/>
    <mergeCell ref="N121:P121"/>
    <mergeCell ref="H122:H123"/>
    <mergeCell ref="I122:J122"/>
    <mergeCell ref="L122:L123"/>
    <mergeCell ref="N122:N123"/>
    <mergeCell ref="O122:O123"/>
    <mergeCell ref="K122:K123"/>
    <mergeCell ref="P122:P123"/>
    <mergeCell ref="M122:M123"/>
    <mergeCell ref="A112:B112"/>
    <mergeCell ref="H112:I112"/>
    <mergeCell ref="G122:G123"/>
    <mergeCell ref="J112:K112"/>
    <mergeCell ref="A121:B123"/>
    <mergeCell ref="C121:E121"/>
    <mergeCell ref="A113:B113"/>
    <mergeCell ref="A114:B114"/>
    <mergeCell ref="H114:I114"/>
    <mergeCell ref="J114:K114"/>
    <mergeCell ref="O112:P112"/>
    <mergeCell ref="O114:P114"/>
    <mergeCell ref="O113:P113"/>
    <mergeCell ref="A110:B110"/>
    <mergeCell ref="G104:G105"/>
    <mergeCell ref="H104:I105"/>
    <mergeCell ref="J104:L104"/>
    <mergeCell ref="A108:B108"/>
    <mergeCell ref="O111:P111"/>
    <mergeCell ref="O110:P110"/>
    <mergeCell ref="A111:B111"/>
    <mergeCell ref="H111:I111"/>
    <mergeCell ref="J111:K111"/>
    <mergeCell ref="C104:C105"/>
    <mergeCell ref="D104:D105"/>
    <mergeCell ref="E104:E105"/>
    <mergeCell ref="F104:F105"/>
    <mergeCell ref="J109:K109"/>
    <mergeCell ref="H108:I108"/>
    <mergeCell ref="J108:K108"/>
    <mergeCell ref="H110:I110"/>
    <mergeCell ref="J110:K110"/>
    <mergeCell ref="C122:C123"/>
    <mergeCell ref="D122:D123"/>
    <mergeCell ref="E122:E123"/>
    <mergeCell ref="F122:F123"/>
    <mergeCell ref="H113:I113"/>
    <mergeCell ref="J113:K113"/>
    <mergeCell ref="C117:D117"/>
    <mergeCell ref="F121:G121"/>
    <mergeCell ref="H121:J121"/>
    <mergeCell ref="K121:M121"/>
    <mergeCell ref="O109:P109"/>
    <mergeCell ref="M104:M105"/>
    <mergeCell ref="A107:B107"/>
    <mergeCell ref="H107:I107"/>
    <mergeCell ref="J107:K107"/>
    <mergeCell ref="A106:B106"/>
    <mergeCell ref="H106:I106"/>
    <mergeCell ref="J106:K106"/>
    <mergeCell ref="A109:B109"/>
    <mergeCell ref="H109:I109"/>
    <mergeCell ref="A92:P92"/>
    <mergeCell ref="O94:P96"/>
    <mergeCell ref="A95:L95"/>
    <mergeCell ref="A88:C88"/>
    <mergeCell ref="D88:G88"/>
    <mergeCell ref="H88:K88"/>
    <mergeCell ref="E94:L94"/>
    <mergeCell ref="A91:C91"/>
    <mergeCell ref="D91:G91"/>
    <mergeCell ref="H91:K91"/>
    <mergeCell ref="A97:N97"/>
    <mergeCell ref="A103:B105"/>
    <mergeCell ref="C103:E103"/>
    <mergeCell ref="F103:G103"/>
    <mergeCell ref="H103:L103"/>
    <mergeCell ref="M103:O103"/>
    <mergeCell ref="N104:N105"/>
    <mergeCell ref="J105:K105"/>
    <mergeCell ref="O104:O105"/>
    <mergeCell ref="A90:C90"/>
    <mergeCell ref="D90:G90"/>
    <mergeCell ref="H90:K90"/>
    <mergeCell ref="B75:D75"/>
    <mergeCell ref="A58:B58"/>
    <mergeCell ref="C67:D67"/>
    <mergeCell ref="A71:P71"/>
    <mergeCell ref="B72:D72"/>
    <mergeCell ref="B74:D74"/>
    <mergeCell ref="G74:P74"/>
    <mergeCell ref="B77:D77"/>
    <mergeCell ref="G77:P77"/>
    <mergeCell ref="A82:P82"/>
    <mergeCell ref="A83:L83"/>
    <mergeCell ref="A89:C89"/>
    <mergeCell ref="D89:G89"/>
    <mergeCell ref="H89:K89"/>
    <mergeCell ref="A87:C87"/>
    <mergeCell ref="D87:G87"/>
    <mergeCell ref="H87:K87"/>
    <mergeCell ref="A56:B56"/>
    <mergeCell ref="A57:B57"/>
    <mergeCell ref="G72:P72"/>
    <mergeCell ref="B73:D73"/>
    <mergeCell ref="G73:P73"/>
    <mergeCell ref="B76:D76"/>
    <mergeCell ref="G76:P76"/>
    <mergeCell ref="G75:P75"/>
    <mergeCell ref="L54:L55"/>
    <mergeCell ref="A53:B55"/>
    <mergeCell ref="C53:E53"/>
    <mergeCell ref="H54:H55"/>
    <mergeCell ref="I54:J54"/>
    <mergeCell ref="C54:C55"/>
    <mergeCell ref="D54:D55"/>
    <mergeCell ref="H53:J53"/>
    <mergeCell ref="O43:P43"/>
    <mergeCell ref="O42:P42"/>
    <mergeCell ref="K54:K55"/>
    <mergeCell ref="P54:P55"/>
    <mergeCell ref="N54:N55"/>
    <mergeCell ref="O54:O55"/>
    <mergeCell ref="N53:P53"/>
    <mergeCell ref="J46:K46"/>
    <mergeCell ref="O44:P44"/>
    <mergeCell ref="K53:M53"/>
    <mergeCell ref="J44:K44"/>
    <mergeCell ref="O46:P46"/>
    <mergeCell ref="J45:K45"/>
    <mergeCell ref="E54:E55"/>
    <mergeCell ref="F54:F55"/>
    <mergeCell ref="G54:G55"/>
    <mergeCell ref="O45:P45"/>
    <mergeCell ref="M54:M55"/>
    <mergeCell ref="J43:K43"/>
    <mergeCell ref="A41:B41"/>
    <mergeCell ref="H41:I41"/>
    <mergeCell ref="J41:K41"/>
    <mergeCell ref="H42:I42"/>
    <mergeCell ref="H40:I40"/>
    <mergeCell ref="A40:B40"/>
    <mergeCell ref="A46:B46"/>
    <mergeCell ref="H46:I46"/>
    <mergeCell ref="A44:B44"/>
    <mergeCell ref="H44:I44"/>
    <mergeCell ref="H45:I45"/>
    <mergeCell ref="A43:B43"/>
    <mergeCell ref="H43:I43"/>
    <mergeCell ref="O41:P41"/>
    <mergeCell ref="J36:L36"/>
    <mergeCell ref="C36:C37"/>
    <mergeCell ref="D36:D37"/>
    <mergeCell ref="H39:I39"/>
    <mergeCell ref="J39:K39"/>
    <mergeCell ref="J40:K40"/>
    <mergeCell ref="M36:M37"/>
    <mergeCell ref="H36:I37"/>
    <mergeCell ref="J37:K37"/>
    <mergeCell ref="E36:E37"/>
    <mergeCell ref="F36:F37"/>
    <mergeCell ref="M35:O35"/>
    <mergeCell ref="A29:N29"/>
    <mergeCell ref="N36:N37"/>
    <mergeCell ref="F53:G53"/>
    <mergeCell ref="J42:K42"/>
    <mergeCell ref="A45:B45"/>
    <mergeCell ref="O36:O37"/>
    <mergeCell ref="A42:B42"/>
    <mergeCell ref="A38:B38"/>
    <mergeCell ref="H38:I38"/>
    <mergeCell ref="J38:K38"/>
    <mergeCell ref="A39:B39"/>
    <mergeCell ref="A35:B37"/>
    <mergeCell ref="A23:P23"/>
    <mergeCell ref="A24:P24"/>
    <mergeCell ref="E26:L26"/>
    <mergeCell ref="O26:P28"/>
    <mergeCell ref="A27:L27"/>
    <mergeCell ref="C49:D49"/>
    <mergeCell ref="C35:E35"/>
    <mergeCell ref="F35:G35"/>
    <mergeCell ref="H35:L35"/>
    <mergeCell ref="G36:G37"/>
    <mergeCell ref="O15:P15"/>
    <mergeCell ref="A8:P8"/>
    <mergeCell ref="A9:P9"/>
    <mergeCell ref="O10:P10"/>
    <mergeCell ref="M11:N11"/>
    <mergeCell ref="O11:P11"/>
    <mergeCell ref="O12:P12"/>
    <mergeCell ref="O13:P14"/>
    <mergeCell ref="A14:L14"/>
    <mergeCell ref="M14:N14"/>
    <mergeCell ref="A16:L16"/>
    <mergeCell ref="O16:P16"/>
    <mergeCell ref="A20:J20"/>
    <mergeCell ref="A17:L17"/>
    <mergeCell ref="O18:P19"/>
    <mergeCell ref="A19:L19"/>
    <mergeCell ref="O17:P17"/>
  </mergeCells>
  <phoneticPr fontId="0" type="noConversion"/>
  <pageMargins left="0.16" right="0.2" top="0.19" bottom="0.19" header="0.19" footer="0.19"/>
  <pageSetup paperSize="9" scale="93" orientation="landscape" r:id="rId1"/>
  <rowBreaks count="1" manualBreakCount="1">
    <brk id="295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"/>
  <sheetViews>
    <sheetView zoomScale="80" zoomScaleNormal="80" workbookViewId="0">
      <selection activeCell="M7" sqref="M7"/>
    </sheetView>
  </sheetViews>
  <sheetFormatPr defaultRowHeight="12.75"/>
  <cols>
    <col min="1" max="2" width="7.5703125" style="67" customWidth="1"/>
    <col min="3" max="3" width="15.5703125" style="67" customWidth="1"/>
    <col min="4" max="4" width="18.140625" style="67" customWidth="1"/>
    <col min="5" max="5" width="15.140625" style="67" customWidth="1"/>
    <col min="6" max="6" width="8" style="67" customWidth="1"/>
    <col min="7" max="7" width="13.42578125" style="67" bestFit="1" customWidth="1"/>
    <col min="8" max="8" width="15.85546875" style="67" customWidth="1"/>
    <col min="9" max="9" width="13.42578125" style="67" customWidth="1"/>
    <col min="10" max="10" width="10.7109375" style="67" bestFit="1" customWidth="1"/>
    <col min="11" max="13" width="9.140625" style="67"/>
    <col min="14" max="14" width="10.140625" style="67" bestFit="1" customWidth="1"/>
    <col min="15" max="16384" width="9.140625" style="67"/>
  </cols>
  <sheetData>
    <row r="1" spans="1:20" ht="15.75">
      <c r="F1" s="70"/>
      <c r="G1" s="70"/>
      <c r="H1" s="70"/>
      <c r="I1" s="69" t="s">
        <v>256</v>
      </c>
      <c r="J1" s="69"/>
      <c r="K1" s="69"/>
      <c r="L1" s="69"/>
      <c r="M1" s="69"/>
      <c r="N1" s="161"/>
      <c r="O1" s="69"/>
      <c r="P1" s="69"/>
      <c r="Q1" s="161"/>
      <c r="R1" s="161"/>
    </row>
    <row r="2" spans="1:20" ht="18">
      <c r="A2" s="542" t="s">
        <v>251</v>
      </c>
      <c r="B2" s="542"/>
      <c r="C2" s="542"/>
      <c r="D2" s="542"/>
      <c r="E2" s="542"/>
      <c r="F2" s="70"/>
      <c r="G2" s="70"/>
      <c r="H2" s="70"/>
      <c r="I2" s="540" t="s">
        <v>253</v>
      </c>
      <c r="J2" s="540"/>
      <c r="K2" s="540" t="s">
        <v>252</v>
      </c>
      <c r="L2" s="540"/>
      <c r="M2" s="540" t="s">
        <v>254</v>
      </c>
      <c r="N2" s="540"/>
      <c r="O2" s="69"/>
      <c r="R2" s="69" t="s">
        <v>339</v>
      </c>
      <c r="S2" s="69"/>
    </row>
    <row r="3" spans="1:20">
      <c r="F3" s="70"/>
      <c r="G3" s="70"/>
      <c r="H3" s="70"/>
      <c r="I3" s="69" t="s">
        <v>340</v>
      </c>
      <c r="J3" s="67" t="s">
        <v>338</v>
      </c>
      <c r="K3" s="69" t="s">
        <v>340</v>
      </c>
      <c r="L3" s="67" t="s">
        <v>338</v>
      </c>
      <c r="M3" s="69" t="s">
        <v>340</v>
      </c>
      <c r="N3" s="67" t="s">
        <v>338</v>
      </c>
      <c r="O3" s="69" t="s">
        <v>255</v>
      </c>
      <c r="P3" s="69"/>
      <c r="R3" s="173" t="s">
        <v>257</v>
      </c>
      <c r="S3" s="173" t="s">
        <v>252</v>
      </c>
      <c r="T3" s="173" t="s">
        <v>254</v>
      </c>
    </row>
    <row r="4" spans="1:20" ht="18.75">
      <c r="E4" s="67">
        <f>I4+J4+K4+L4+M4+N4+O4</f>
        <v>652</v>
      </c>
      <c r="F4" s="70"/>
      <c r="G4" s="70" t="s">
        <v>248</v>
      </c>
      <c r="H4" s="70"/>
      <c r="I4" s="159">
        <v>297</v>
      </c>
      <c r="J4" s="159">
        <v>0</v>
      </c>
      <c r="K4" s="159">
        <v>305</v>
      </c>
      <c r="L4" s="159">
        <v>0</v>
      </c>
      <c r="M4" s="159">
        <v>50</v>
      </c>
      <c r="N4" s="159">
        <v>0</v>
      </c>
      <c r="O4" s="159">
        <v>0</v>
      </c>
      <c r="P4" s="172"/>
      <c r="Q4" s="69"/>
      <c r="R4" s="176">
        <v>0</v>
      </c>
      <c r="S4" s="176">
        <v>0</v>
      </c>
      <c r="T4" s="176">
        <v>0</v>
      </c>
    </row>
    <row r="5" spans="1:20">
      <c r="A5" s="75" t="s">
        <v>131</v>
      </c>
      <c r="B5" s="75" t="s">
        <v>250</v>
      </c>
      <c r="C5" s="75" t="s">
        <v>249</v>
      </c>
      <c r="D5" s="75" t="s">
        <v>111</v>
      </c>
      <c r="E5" s="75" t="s">
        <v>248</v>
      </c>
      <c r="F5" s="70"/>
      <c r="G5" s="70"/>
      <c r="H5" s="70"/>
      <c r="I5" s="267"/>
      <c r="J5" s="267"/>
      <c r="K5" s="267"/>
      <c r="L5" s="267"/>
      <c r="M5" s="267"/>
      <c r="N5" s="267"/>
      <c r="O5" s="267"/>
      <c r="P5" s="69"/>
      <c r="Q5" s="69"/>
      <c r="R5" s="173"/>
      <c r="S5" s="173"/>
      <c r="T5" s="173"/>
    </row>
    <row r="6" spans="1:20" s="164" customFormat="1">
      <c r="A6" s="170"/>
      <c r="B6" s="170"/>
      <c r="C6" s="171">
        <f>SUM(C14:C27)</f>
        <v>22600756</v>
      </c>
      <c r="D6" s="366">
        <f>SUM(D14:D27)</f>
        <v>22600756</v>
      </c>
      <c r="E6" s="171"/>
      <c r="F6" s="166"/>
      <c r="G6" s="166"/>
      <c r="H6" s="166"/>
      <c r="I6" s="176">
        <f>'[2]проверка 2018'!I6</f>
        <v>0</v>
      </c>
      <c r="J6" s="176">
        <f>'[2]проверка 2018'!J6</f>
        <v>0</v>
      </c>
      <c r="K6" s="176">
        <v>4</v>
      </c>
      <c r="L6" s="176">
        <f>'[2]проверка 2018'!L6</f>
        <v>0</v>
      </c>
      <c r="M6" s="176">
        <v>1</v>
      </c>
      <c r="N6" s="176">
        <f>'[2]проверка 2018'!N6</f>
        <v>0</v>
      </c>
      <c r="O6" s="176">
        <f>'[2]проверка 2018'!O6</f>
        <v>0</v>
      </c>
      <c r="P6" s="69" t="s">
        <v>262</v>
      </c>
      <c r="Q6" s="69"/>
      <c r="R6" s="173"/>
      <c r="S6" s="173"/>
      <c r="T6" s="173"/>
    </row>
    <row r="7" spans="1:20" s="164" customFormat="1">
      <c r="A7" s="170">
        <v>211</v>
      </c>
      <c r="B7" s="169" t="s">
        <v>247</v>
      </c>
      <c r="C7" s="168">
        <v>14359108</v>
      </c>
      <c r="D7" s="177">
        <v>14359108</v>
      </c>
      <c r="E7" s="162"/>
      <c r="F7" s="70"/>
      <c r="G7" s="70"/>
      <c r="H7" s="70"/>
      <c r="I7" s="173">
        <v>2771.1</v>
      </c>
      <c r="J7" s="173"/>
      <c r="K7" s="173">
        <v>3576.45</v>
      </c>
      <c r="L7" s="173"/>
      <c r="M7" s="173">
        <v>3755.42</v>
      </c>
      <c r="N7" s="173"/>
      <c r="O7" s="173"/>
      <c r="P7" s="69" t="s">
        <v>261</v>
      </c>
      <c r="Q7" s="69"/>
      <c r="R7" s="173"/>
      <c r="S7" s="173"/>
      <c r="T7" s="173">
        <v>7</v>
      </c>
    </row>
    <row r="8" spans="1:20" s="164" customFormat="1">
      <c r="A8" s="170">
        <v>213</v>
      </c>
      <c r="B8" s="169" t="s">
        <v>247</v>
      </c>
      <c r="C8" s="168">
        <v>4336450</v>
      </c>
      <c r="D8" s="177">
        <v>4336450</v>
      </c>
      <c r="E8" s="162"/>
      <c r="F8" s="165"/>
      <c r="G8" s="165"/>
      <c r="H8" s="165">
        <f>I8*$I$4+J8*$J$4+K8*$K$4+L8*$L$4+M8*$M$4+N8*$N$4+O8*$O$4</f>
        <v>13354069.300000001</v>
      </c>
      <c r="I8" s="133">
        <v>16238.4</v>
      </c>
      <c r="J8" s="133">
        <v>37320</v>
      </c>
      <c r="K8" s="133">
        <v>23534.9</v>
      </c>
      <c r="L8" s="133">
        <v>61758.400000000001</v>
      </c>
      <c r="M8" s="133">
        <v>27062.400000000001</v>
      </c>
      <c r="N8" s="133">
        <v>97628</v>
      </c>
      <c r="O8" s="133">
        <f>IF(O4=0,0,ROUND((R8*R4+S8*S4+T8*T4)/O4,0))</f>
        <v>0</v>
      </c>
      <c r="P8" s="69" t="s">
        <v>259</v>
      </c>
      <c r="Q8" s="69"/>
      <c r="R8" s="173">
        <v>37320</v>
      </c>
      <c r="S8" s="173">
        <v>61758.400000000001</v>
      </c>
      <c r="T8" s="173">
        <v>97628</v>
      </c>
    </row>
    <row r="9" spans="1:20" s="164" customFormat="1">
      <c r="A9" s="170">
        <v>221</v>
      </c>
      <c r="B9" s="169" t="s">
        <v>247</v>
      </c>
      <c r="C9" s="168">
        <v>112577</v>
      </c>
      <c r="D9" s="177">
        <v>112577</v>
      </c>
      <c r="E9" s="162"/>
      <c r="F9" s="165"/>
      <c r="G9" s="165"/>
      <c r="H9" s="165">
        <f>I9*$I$4+J9*$J$4+K9*$K$4+L9*$L$4+M9*$M$4+N9*$N$4+O9*$O$4</f>
        <v>5006624.8</v>
      </c>
      <c r="I9" s="133">
        <v>6045.4000000000005</v>
      </c>
      <c r="J9" s="133">
        <v>14160.8</v>
      </c>
      <c r="K9" s="133">
        <v>8854.2000000000007</v>
      </c>
      <c r="L9" s="133">
        <v>23568.399999999998</v>
      </c>
      <c r="M9" s="133">
        <v>10212.200000000001</v>
      </c>
      <c r="N9" s="133">
        <v>37376.5</v>
      </c>
      <c r="O9" s="133">
        <f>IF(O4=0,0,ROUND((R9*R4+S9*S4+T9*T4)/O4,0))</f>
        <v>0</v>
      </c>
      <c r="P9" s="69" t="s">
        <v>260</v>
      </c>
      <c r="Q9" s="69"/>
      <c r="R9" s="173">
        <v>14160.8</v>
      </c>
      <c r="S9" s="173">
        <v>23568.399999999998</v>
      </c>
      <c r="T9" s="173">
        <v>37376.5</v>
      </c>
    </row>
    <row r="10" spans="1:20" s="164" customFormat="1">
      <c r="A10" s="170">
        <v>226</v>
      </c>
      <c r="B10" s="169" t="s">
        <v>247</v>
      </c>
      <c r="C10" s="174">
        <v>24352</v>
      </c>
      <c r="D10" s="177">
        <v>24352</v>
      </c>
      <c r="E10" s="162"/>
      <c r="F10" s="165">
        <f>ROUND(C10/$E$4,2)</f>
        <v>37.35</v>
      </c>
      <c r="G10" s="165"/>
      <c r="H10" s="165"/>
      <c r="I10" s="67">
        <f>$F$10</f>
        <v>37.35</v>
      </c>
      <c r="J10" s="67">
        <f t="shared" ref="J10:O10" si="0">$F$10</f>
        <v>37.35</v>
      </c>
      <c r="K10" s="67">
        <f t="shared" si="0"/>
        <v>37.35</v>
      </c>
      <c r="L10" s="67">
        <f t="shared" si="0"/>
        <v>37.35</v>
      </c>
      <c r="M10" s="67">
        <f t="shared" si="0"/>
        <v>37.35</v>
      </c>
      <c r="N10" s="67">
        <f t="shared" si="0"/>
        <v>37.35</v>
      </c>
      <c r="O10" s="67">
        <f t="shared" si="0"/>
        <v>37.35</v>
      </c>
      <c r="P10" s="69"/>
      <c r="Q10" s="69"/>
      <c r="R10" s="69"/>
      <c r="S10" s="69"/>
      <c r="T10" s="69"/>
    </row>
    <row r="11" spans="1:20" s="164" customFormat="1">
      <c r="A11" s="170">
        <v>226</v>
      </c>
      <c r="B11" s="169" t="s">
        <v>247</v>
      </c>
      <c r="C11" s="168">
        <f>47172-C10</f>
        <v>22820</v>
      </c>
      <c r="D11" s="177">
        <f>47172-D10</f>
        <v>22820</v>
      </c>
      <c r="E11" s="162"/>
      <c r="F11" s="165"/>
      <c r="G11" s="165"/>
      <c r="H11" s="165"/>
      <c r="I11" s="266"/>
      <c r="J11" s="266"/>
      <c r="K11" s="266"/>
      <c r="L11" s="266"/>
      <c r="M11" s="266"/>
      <c r="N11" s="266"/>
      <c r="O11" s="266"/>
      <c r="P11" s="69"/>
      <c r="Q11" s="69"/>
      <c r="R11" s="69"/>
      <c r="S11" s="69"/>
      <c r="T11" s="69"/>
    </row>
    <row r="12" spans="1:20" s="164" customFormat="1">
      <c r="A12" s="170">
        <v>310</v>
      </c>
      <c r="B12" s="169" t="s">
        <v>247</v>
      </c>
      <c r="C12" s="168">
        <v>160700</v>
      </c>
      <c r="D12" s="177">
        <v>160700</v>
      </c>
      <c r="E12" s="162"/>
      <c r="F12" s="165"/>
      <c r="G12" s="166"/>
      <c r="N12" s="67"/>
      <c r="O12" s="69"/>
      <c r="P12" s="69"/>
      <c r="Q12" s="69"/>
      <c r="R12" s="69"/>
    </row>
    <row r="13" spans="1:20" s="164" customFormat="1">
      <c r="A13" s="170">
        <v>340</v>
      </c>
      <c r="B13" s="169" t="s">
        <v>247</v>
      </c>
      <c r="C13" s="168">
        <v>54741</v>
      </c>
      <c r="D13" s="177">
        <v>54741</v>
      </c>
      <c r="E13" s="162"/>
      <c r="F13" s="165"/>
      <c r="G13" s="165"/>
    </row>
    <row r="14" spans="1:20" s="164" customFormat="1" ht="13.5" thickBot="1">
      <c r="A14" s="170"/>
      <c r="B14" s="169"/>
      <c r="C14" s="177">
        <f>SUM(C7:C13)</f>
        <v>19070748</v>
      </c>
      <c r="D14" s="177">
        <f>SUM(D7:D13)</f>
        <v>19070748</v>
      </c>
      <c r="E14" s="177"/>
      <c r="F14" s="165"/>
      <c r="G14" s="166">
        <f>H14-C14</f>
        <v>-678368.54999999702</v>
      </c>
      <c r="H14" s="165">
        <f>I14*$I$4+J4*$J$14+K14*$K$4+L14*$L$4+M14*$M$4+N14*$N$4+O14*$O$4</f>
        <v>18392379.450000003</v>
      </c>
      <c r="I14" s="147">
        <f>ROUND(IF(I4=0,0,I8+I9+I10)+IF(I6=0,0,I7/I4),2)</f>
        <v>22321.15</v>
      </c>
      <c r="J14" s="147">
        <f t="shared" ref="J14:O14" si="1">ROUND(IF(J4=0,0,J8+J9+J10)+IF(J6=0,0,J7/J4),2)</f>
        <v>0</v>
      </c>
      <c r="K14" s="147">
        <f>ROUND(IF(K4=0,0,K8+K9+K10)+IF(K6=0,0,K7/K4),2)</f>
        <v>32438.18</v>
      </c>
      <c r="L14" s="147">
        <f t="shared" si="1"/>
        <v>0</v>
      </c>
      <c r="M14" s="147">
        <f t="shared" si="1"/>
        <v>37387.06</v>
      </c>
      <c r="N14" s="147">
        <f t="shared" si="1"/>
        <v>0</v>
      </c>
      <c r="O14" s="147">
        <f t="shared" si="1"/>
        <v>0</v>
      </c>
      <c r="P14" s="265"/>
    </row>
    <row r="15" spans="1:20" s="164" customFormat="1">
      <c r="A15" s="170"/>
      <c r="B15" s="169"/>
      <c r="C15" s="177"/>
      <c r="D15" s="177"/>
      <c r="E15" s="177"/>
      <c r="F15" s="165"/>
      <c r="G15" s="166"/>
      <c r="H15" s="165" t="s">
        <v>264</v>
      </c>
      <c r="I15" s="164">
        <f>-ROUND($G$14/$E$4,2)</f>
        <v>1040.44</v>
      </c>
      <c r="J15" s="164">
        <f t="shared" ref="J15:O15" si="2">-ROUND($G$14/$E$4,2)</f>
        <v>1040.44</v>
      </c>
      <c r="K15" s="164">
        <f t="shared" si="2"/>
        <v>1040.44</v>
      </c>
      <c r="L15" s="164">
        <f t="shared" si="2"/>
        <v>1040.44</v>
      </c>
      <c r="M15" s="164">
        <f t="shared" si="2"/>
        <v>1040.44</v>
      </c>
      <c r="N15" s="164">
        <f t="shared" si="2"/>
        <v>1040.44</v>
      </c>
      <c r="O15" s="164">
        <f t="shared" si="2"/>
        <v>1040.44</v>
      </c>
    </row>
    <row r="16" spans="1:20" s="164" customFormat="1">
      <c r="A16" s="170"/>
      <c r="B16" s="169"/>
      <c r="C16" s="177"/>
      <c r="D16" s="177"/>
      <c r="E16" s="177"/>
      <c r="F16" s="165"/>
      <c r="G16" s="166">
        <f>C14-H16</f>
        <v>1.669999998062849</v>
      </c>
      <c r="H16" s="165">
        <f>I16*$I$4+J16*$J$4+K16*$K$4+L16*$L$4+M16*$M$4+N16*$N$4+O16*$O$4</f>
        <v>19070746.330000002</v>
      </c>
      <c r="I16" s="164">
        <f t="shared" ref="I16:O16" si="3">I14+I15</f>
        <v>23361.59</v>
      </c>
      <c r="J16" s="164">
        <f t="shared" si="3"/>
        <v>1040.44</v>
      </c>
      <c r="K16" s="164">
        <f t="shared" si="3"/>
        <v>33478.620000000003</v>
      </c>
      <c r="L16" s="164">
        <f t="shared" si="3"/>
        <v>1040.44</v>
      </c>
      <c r="M16" s="164">
        <f t="shared" si="3"/>
        <v>38427.5</v>
      </c>
      <c r="N16" s="164">
        <f t="shared" si="3"/>
        <v>1040.44</v>
      </c>
      <c r="O16" s="164">
        <f t="shared" si="3"/>
        <v>1040.44</v>
      </c>
    </row>
    <row r="17" spans="1:21">
      <c r="A17" s="75">
        <v>211</v>
      </c>
      <c r="B17" s="75">
        <v>901</v>
      </c>
      <c r="C17" s="163">
        <v>880992</v>
      </c>
      <c r="D17" s="367">
        <v>880992</v>
      </c>
      <c r="E17" s="162"/>
      <c r="F17" s="165">
        <f>ROUND(C17/$E$4,2)</f>
        <v>1351.21</v>
      </c>
      <c r="G17" s="166">
        <f>H17-C17</f>
        <v>-3.0800000000745058</v>
      </c>
      <c r="H17" s="165">
        <f t="shared" ref="H17:H27" si="4">I17*$I$4+J17*$J$4+K17*$K$4+L17*$L$4+M17*$M$4+N17*$N$4+O17*$O$4</f>
        <v>880988.91999999993</v>
      </c>
      <c r="I17" s="67">
        <f>IF($I$4=0,0,F17)</f>
        <v>1351.21</v>
      </c>
      <c r="J17" s="67">
        <f>IF($J$4=0,0,F17)</f>
        <v>0</v>
      </c>
      <c r="K17" s="67">
        <f>IF($K$4=0,0,F17)</f>
        <v>1351.21</v>
      </c>
      <c r="L17" s="67">
        <f>IF($L$4=0,0,F17)</f>
        <v>0</v>
      </c>
      <c r="M17" s="67">
        <f>IF($M$4=0,0,F17)</f>
        <v>1351.21</v>
      </c>
      <c r="N17" s="67">
        <f>IF($N$4=0,0,F17)</f>
        <v>0</v>
      </c>
      <c r="O17" s="67">
        <f>IF($O$4=0,0,F17)</f>
        <v>0</v>
      </c>
      <c r="R17" s="69"/>
      <c r="S17" s="69"/>
      <c r="T17" s="69"/>
      <c r="U17" s="69"/>
    </row>
    <row r="18" spans="1:21">
      <c r="A18" s="75">
        <v>212</v>
      </c>
      <c r="B18" s="75">
        <v>901</v>
      </c>
      <c r="C18" s="163">
        <v>3000</v>
      </c>
      <c r="D18" s="367">
        <v>3000</v>
      </c>
      <c r="E18" s="162"/>
      <c r="F18" s="165">
        <f t="shared" ref="F18:F27" si="5">ROUND(C18/$E$4,2)</f>
        <v>4.5999999999999996</v>
      </c>
      <c r="G18" s="166">
        <f t="shared" ref="G18:G27" si="6">H18-C18</f>
        <v>-0.8000000000001819</v>
      </c>
      <c r="H18" s="165">
        <f t="shared" si="4"/>
        <v>2999.2</v>
      </c>
      <c r="I18" s="67">
        <f t="shared" ref="I18:I27" si="7">IF($I$4=0,0,F18)</f>
        <v>4.5999999999999996</v>
      </c>
      <c r="J18" s="67">
        <f t="shared" ref="J18:J27" si="8">IF($J$4=0,0,F18)</f>
        <v>0</v>
      </c>
      <c r="K18" s="67">
        <f t="shared" ref="K18:K27" si="9">IF($K$4=0,0,I18)</f>
        <v>4.5999999999999996</v>
      </c>
      <c r="L18" s="67">
        <f t="shared" ref="L18:L27" si="10">IF($L$4=0,0,F18)</f>
        <v>0</v>
      </c>
      <c r="M18" s="67">
        <f t="shared" ref="M18:M27" si="11">IF($M$4=0,0,F18)</f>
        <v>4.5999999999999996</v>
      </c>
      <c r="N18" s="67">
        <f t="shared" ref="N18:N27" si="12">IF($N$4=0,0,F18)</f>
        <v>0</v>
      </c>
      <c r="O18" s="67">
        <f t="shared" ref="O18:O27" si="13">IF($O$4=0,0,F18)</f>
        <v>0</v>
      </c>
      <c r="R18" s="69"/>
      <c r="S18" s="69"/>
      <c r="T18" s="69"/>
      <c r="U18" s="69"/>
    </row>
    <row r="19" spans="1:21">
      <c r="A19" s="75">
        <v>213</v>
      </c>
      <c r="B19" s="75">
        <v>901</v>
      </c>
      <c r="C19" s="163">
        <v>266060</v>
      </c>
      <c r="D19" s="367">
        <v>266060</v>
      </c>
      <c r="E19" s="162"/>
      <c r="F19" s="165">
        <f t="shared" si="5"/>
        <v>408.07</v>
      </c>
      <c r="G19" s="166">
        <f t="shared" si="6"/>
        <v>1.6400000000139698</v>
      </c>
      <c r="H19" s="165">
        <f t="shared" si="4"/>
        <v>266061.64</v>
      </c>
      <c r="I19" s="67">
        <f t="shared" si="7"/>
        <v>408.07</v>
      </c>
      <c r="J19" s="67">
        <f t="shared" si="8"/>
        <v>0</v>
      </c>
      <c r="K19" s="67">
        <f t="shared" si="9"/>
        <v>408.07</v>
      </c>
      <c r="L19" s="67">
        <f t="shared" si="10"/>
        <v>0</v>
      </c>
      <c r="M19" s="67">
        <f t="shared" si="11"/>
        <v>408.07</v>
      </c>
      <c r="N19" s="67">
        <f t="shared" si="12"/>
        <v>0</v>
      </c>
      <c r="O19" s="67">
        <f t="shared" si="13"/>
        <v>0</v>
      </c>
    </row>
    <row r="20" spans="1:21">
      <c r="A20" s="75">
        <v>221</v>
      </c>
      <c r="B20" s="75">
        <v>901</v>
      </c>
      <c r="C20" s="163">
        <v>15111</v>
      </c>
      <c r="D20" s="367">
        <v>15111</v>
      </c>
      <c r="E20" s="162"/>
      <c r="F20" s="165">
        <f t="shared" si="5"/>
        <v>23.18</v>
      </c>
      <c r="G20" s="166">
        <f t="shared" si="6"/>
        <v>2.3600000000005821</v>
      </c>
      <c r="H20" s="165">
        <f t="shared" si="4"/>
        <v>15113.36</v>
      </c>
      <c r="I20" s="67">
        <f t="shared" si="7"/>
        <v>23.18</v>
      </c>
      <c r="J20" s="67">
        <f t="shared" si="8"/>
        <v>0</v>
      </c>
      <c r="K20" s="67">
        <f t="shared" si="9"/>
        <v>23.18</v>
      </c>
      <c r="L20" s="67">
        <f t="shared" si="10"/>
        <v>0</v>
      </c>
      <c r="M20" s="67">
        <f t="shared" si="11"/>
        <v>23.18</v>
      </c>
      <c r="N20" s="67">
        <f t="shared" si="12"/>
        <v>0</v>
      </c>
      <c r="O20" s="67">
        <f t="shared" si="13"/>
        <v>0</v>
      </c>
    </row>
    <row r="21" spans="1:21">
      <c r="A21" s="75">
        <v>222</v>
      </c>
      <c r="B21" s="75">
        <v>901</v>
      </c>
      <c r="C21" s="163"/>
      <c r="D21" s="367"/>
      <c r="E21" s="162"/>
      <c r="F21" s="165">
        <f t="shared" si="5"/>
        <v>0</v>
      </c>
      <c r="G21" s="166">
        <f t="shared" si="6"/>
        <v>0</v>
      </c>
      <c r="H21" s="165">
        <f t="shared" si="4"/>
        <v>0</v>
      </c>
      <c r="I21" s="67">
        <f t="shared" si="7"/>
        <v>0</v>
      </c>
      <c r="J21" s="67">
        <f t="shared" si="8"/>
        <v>0</v>
      </c>
      <c r="K21" s="67">
        <f t="shared" si="9"/>
        <v>0</v>
      </c>
      <c r="L21" s="67">
        <f t="shared" si="10"/>
        <v>0</v>
      </c>
      <c r="M21" s="67">
        <f t="shared" si="11"/>
        <v>0</v>
      </c>
      <c r="N21" s="67">
        <f t="shared" si="12"/>
        <v>0</v>
      </c>
      <c r="O21" s="67">
        <f t="shared" si="13"/>
        <v>0</v>
      </c>
    </row>
    <row r="22" spans="1:21">
      <c r="A22" s="75">
        <v>223</v>
      </c>
      <c r="B22" s="75">
        <v>901</v>
      </c>
      <c r="C22" s="163">
        <v>1163442</v>
      </c>
      <c r="D22" s="367">
        <v>1163442</v>
      </c>
      <c r="E22" s="162"/>
      <c r="F22" s="165">
        <f t="shared" si="5"/>
        <v>1784.42</v>
      </c>
      <c r="G22" s="166">
        <f t="shared" si="6"/>
        <v>-0.16000000014901161</v>
      </c>
      <c r="H22" s="165">
        <f t="shared" si="4"/>
        <v>1163441.8399999999</v>
      </c>
      <c r="I22" s="67">
        <f t="shared" si="7"/>
        <v>1784.42</v>
      </c>
      <c r="J22" s="67">
        <f t="shared" si="8"/>
        <v>0</v>
      </c>
      <c r="K22" s="67">
        <f t="shared" si="9"/>
        <v>1784.42</v>
      </c>
      <c r="L22" s="67">
        <f t="shared" si="10"/>
        <v>0</v>
      </c>
      <c r="M22" s="67">
        <f t="shared" si="11"/>
        <v>1784.42</v>
      </c>
      <c r="N22" s="67">
        <f t="shared" si="12"/>
        <v>0</v>
      </c>
      <c r="O22" s="67">
        <f t="shared" si="13"/>
        <v>0</v>
      </c>
    </row>
    <row r="23" spans="1:21">
      <c r="A23" s="75">
        <v>224</v>
      </c>
      <c r="B23" s="75">
        <v>901</v>
      </c>
      <c r="C23" s="163"/>
      <c r="D23" s="367"/>
      <c r="E23" s="162"/>
      <c r="F23" s="165">
        <f t="shared" si="5"/>
        <v>0</v>
      </c>
      <c r="G23" s="166">
        <f t="shared" si="6"/>
        <v>0</v>
      </c>
      <c r="H23" s="165">
        <f t="shared" si="4"/>
        <v>0</v>
      </c>
      <c r="I23" s="67">
        <f t="shared" si="7"/>
        <v>0</v>
      </c>
      <c r="J23" s="67">
        <f t="shared" si="8"/>
        <v>0</v>
      </c>
      <c r="K23" s="67">
        <f t="shared" si="9"/>
        <v>0</v>
      </c>
      <c r="L23" s="67">
        <f t="shared" si="10"/>
        <v>0</v>
      </c>
      <c r="M23" s="67">
        <f t="shared" si="11"/>
        <v>0</v>
      </c>
      <c r="N23" s="67">
        <f t="shared" si="12"/>
        <v>0</v>
      </c>
      <c r="O23" s="67">
        <f t="shared" si="13"/>
        <v>0</v>
      </c>
    </row>
    <row r="24" spans="1:21">
      <c r="A24" s="75">
        <v>225</v>
      </c>
      <c r="B24" s="75">
        <v>901</v>
      </c>
      <c r="C24" s="163">
        <v>198661</v>
      </c>
      <c r="D24" s="367">
        <v>198661</v>
      </c>
      <c r="E24" s="162"/>
      <c r="F24" s="165">
        <f t="shared" si="5"/>
        <v>304.69</v>
      </c>
      <c r="G24" s="166">
        <f t="shared" si="6"/>
        <v>-3.1199999999953434</v>
      </c>
      <c r="H24" s="165">
        <f t="shared" si="4"/>
        <v>198657.88</v>
      </c>
      <c r="I24" s="67">
        <f t="shared" si="7"/>
        <v>304.69</v>
      </c>
      <c r="J24" s="67">
        <f t="shared" si="8"/>
        <v>0</v>
      </c>
      <c r="K24" s="67">
        <f t="shared" si="9"/>
        <v>304.69</v>
      </c>
      <c r="L24" s="67">
        <f t="shared" si="10"/>
        <v>0</v>
      </c>
      <c r="M24" s="67">
        <f t="shared" si="11"/>
        <v>304.69</v>
      </c>
      <c r="N24" s="67">
        <f t="shared" si="12"/>
        <v>0</v>
      </c>
      <c r="O24" s="67">
        <f t="shared" si="13"/>
        <v>0</v>
      </c>
    </row>
    <row r="25" spans="1:21">
      <c r="A25" s="75">
        <v>226</v>
      </c>
      <c r="B25" s="75">
        <v>901</v>
      </c>
      <c r="C25" s="163">
        <v>114956</v>
      </c>
      <c r="D25" s="367">
        <v>114956</v>
      </c>
      <c r="E25" s="162"/>
      <c r="F25" s="165">
        <f t="shared" si="5"/>
        <v>176.31</v>
      </c>
      <c r="G25" s="166">
        <f t="shared" si="6"/>
        <v>-1.8800000000046566</v>
      </c>
      <c r="H25" s="165">
        <f t="shared" si="4"/>
        <v>114954.12</v>
      </c>
      <c r="I25" s="67">
        <f t="shared" si="7"/>
        <v>176.31</v>
      </c>
      <c r="J25" s="67">
        <f t="shared" si="8"/>
        <v>0</v>
      </c>
      <c r="K25" s="67">
        <f t="shared" si="9"/>
        <v>176.31</v>
      </c>
      <c r="L25" s="67">
        <f t="shared" si="10"/>
        <v>0</v>
      </c>
      <c r="M25" s="67">
        <f t="shared" si="11"/>
        <v>176.31</v>
      </c>
      <c r="N25" s="67">
        <f t="shared" si="12"/>
        <v>0</v>
      </c>
      <c r="O25" s="67">
        <f t="shared" si="13"/>
        <v>0</v>
      </c>
    </row>
    <row r="26" spans="1:21">
      <c r="A26" s="75">
        <v>290</v>
      </c>
      <c r="B26" s="75">
        <v>901</v>
      </c>
      <c r="C26" s="163">
        <v>887786</v>
      </c>
      <c r="D26" s="367">
        <v>887786</v>
      </c>
      <c r="E26" s="162"/>
      <c r="F26" s="165">
        <f>ROUND(C26/$E$4,2)</f>
        <v>1361.63</v>
      </c>
      <c r="G26" s="166">
        <f t="shared" si="6"/>
        <v>-3.2399999999906868</v>
      </c>
      <c r="H26" s="165">
        <f t="shared" si="4"/>
        <v>887782.76</v>
      </c>
      <c r="I26" s="67">
        <f t="shared" si="7"/>
        <v>1361.63</v>
      </c>
      <c r="J26" s="67">
        <f t="shared" si="8"/>
        <v>0</v>
      </c>
      <c r="K26" s="67">
        <f t="shared" si="9"/>
        <v>1361.63</v>
      </c>
      <c r="L26" s="67">
        <f t="shared" si="10"/>
        <v>0</v>
      </c>
      <c r="M26" s="67">
        <f t="shared" si="11"/>
        <v>1361.63</v>
      </c>
      <c r="N26" s="67">
        <f t="shared" si="12"/>
        <v>0</v>
      </c>
      <c r="O26" s="67">
        <f t="shared" si="13"/>
        <v>0</v>
      </c>
    </row>
    <row r="27" spans="1:21">
      <c r="A27" s="75">
        <v>340</v>
      </c>
      <c r="B27" s="75">
        <v>901</v>
      </c>
      <c r="C27" s="163"/>
      <c r="D27" s="162"/>
      <c r="E27" s="162"/>
      <c r="F27" s="165">
        <f t="shared" si="5"/>
        <v>0</v>
      </c>
      <c r="G27" s="166">
        <f t="shared" si="6"/>
        <v>0</v>
      </c>
      <c r="H27" s="165">
        <f t="shared" si="4"/>
        <v>0</v>
      </c>
      <c r="I27" s="67">
        <f t="shared" si="7"/>
        <v>0</v>
      </c>
      <c r="J27" s="67">
        <f t="shared" si="8"/>
        <v>0</v>
      </c>
      <c r="K27" s="67">
        <f t="shared" si="9"/>
        <v>0</v>
      </c>
      <c r="L27" s="67">
        <f t="shared" si="10"/>
        <v>0</v>
      </c>
      <c r="M27" s="67">
        <f t="shared" si="11"/>
        <v>0</v>
      </c>
      <c r="N27" s="67">
        <f t="shared" si="12"/>
        <v>0</v>
      </c>
      <c r="O27" s="67">
        <f t="shared" si="13"/>
        <v>0</v>
      </c>
    </row>
    <row r="28" spans="1:21">
      <c r="F28" s="70"/>
      <c r="G28" s="175">
        <f>G16+G17+G18+G19+G20+G21+G22+G23+G24+G25+G26+G27</f>
        <v>-6.6100000021369851</v>
      </c>
      <c r="H28" s="164">
        <f>H16+H17+H18+H19+H20+H21+H22+H23+H24+H25+H26+H27</f>
        <v>22600746.050000001</v>
      </c>
      <c r="I28" s="164">
        <f>IF(I4=0,0,I16+I17+I18+I19+I20+I21+I22+I23+I24+I25+I26+I27)</f>
        <v>28775.7</v>
      </c>
      <c r="J28" s="164">
        <f t="shared" ref="J28:O28" si="14">IF(J4=0,0,J16+J17+J18+J19+J20+J21+J22+J23+J24+J25+J26+J27)</f>
        <v>0</v>
      </c>
      <c r="K28" s="164">
        <f>IF(K4=0,0,K16+K17+K18+K19+K20+K21+K22+K23+K24+K25+K26+K27)</f>
        <v>38892.729999999996</v>
      </c>
      <c r="L28" s="164">
        <f t="shared" si="14"/>
        <v>0</v>
      </c>
      <c r="M28" s="164">
        <f t="shared" si="14"/>
        <v>43841.609999999993</v>
      </c>
      <c r="N28" s="164">
        <f t="shared" si="14"/>
        <v>0</v>
      </c>
      <c r="O28" s="164">
        <f t="shared" si="14"/>
        <v>0</v>
      </c>
      <c r="P28" s="164"/>
    </row>
    <row r="29" spans="1:21">
      <c r="I29" s="530">
        <f>IF((I4+J4)=0,0,ROUND((I28*I4+J28*J4)/(I4+J4),2))</f>
        <v>28775.7</v>
      </c>
      <c r="J29" s="530"/>
      <c r="K29" s="530">
        <f>IF((K4+L4)=0,0,ROUND((K28*K4+L28*L4)/(K4+L4),2))</f>
        <v>38892.730000000003</v>
      </c>
      <c r="L29" s="530"/>
      <c r="M29" s="530">
        <f>IF((M4+N4)=0,0,ROUND((M28*M4+N28*N4)/(M4+N4),2))</f>
        <v>43841.61</v>
      </c>
      <c r="N29" s="530"/>
      <c r="O29" s="67">
        <f>O28</f>
        <v>0</v>
      </c>
    </row>
    <row r="30" spans="1:21">
      <c r="N30" s="84"/>
    </row>
    <row r="32" spans="1:21">
      <c r="I32" s="84">
        <f>I29*(I4+J4)+K29*(K4+L4)+M29*(M4+N4)+O4*O29-C6</f>
        <v>-9.9499999992549419</v>
      </c>
    </row>
    <row r="40" ht="9" customHeight="1"/>
    <row r="41" hidden="1"/>
    <row r="42" hidden="1"/>
    <row r="43" hidden="1"/>
    <row r="44" hidden="1"/>
    <row r="50" spans="1:5">
      <c r="A50" s="68" t="s">
        <v>394</v>
      </c>
    </row>
    <row r="53" spans="1:5">
      <c r="A53" s="67" t="s">
        <v>258</v>
      </c>
      <c r="E53" s="68" t="s">
        <v>392</v>
      </c>
    </row>
  </sheetData>
  <mergeCells count="7">
    <mergeCell ref="I29:J29"/>
    <mergeCell ref="K29:L29"/>
    <mergeCell ref="M29:N29"/>
    <mergeCell ref="A2:E2"/>
    <mergeCell ref="I2:J2"/>
    <mergeCell ref="K2:L2"/>
    <mergeCell ref="M2:N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S11" sqref="S11"/>
    </sheetView>
  </sheetViews>
  <sheetFormatPr defaultRowHeight="15"/>
  <cols>
    <col min="1" max="1" width="6.5703125" customWidth="1"/>
    <col min="2" max="2" width="35.5703125" customWidth="1"/>
    <col min="3" max="3" width="19" customWidth="1"/>
    <col min="4" max="4" width="13.85546875" customWidth="1"/>
    <col min="5" max="7" width="13.5703125" customWidth="1"/>
    <col min="8" max="8" width="13.7109375" customWidth="1"/>
    <col min="9" max="9" width="22.42578125" customWidth="1"/>
  </cols>
  <sheetData>
    <row r="1" spans="1:9" ht="18.75">
      <c r="A1" s="544" t="s">
        <v>326</v>
      </c>
      <c r="B1" s="544"/>
      <c r="C1" s="544"/>
      <c r="D1" s="544"/>
      <c r="E1" s="544"/>
      <c r="F1" s="544"/>
      <c r="G1" s="544"/>
      <c r="H1" s="544"/>
      <c r="I1" s="544"/>
    </row>
    <row r="2" spans="1:9" ht="18.75">
      <c r="A2" s="544" t="s">
        <v>327</v>
      </c>
      <c r="B2" s="544"/>
      <c r="C2" s="544"/>
      <c r="D2" s="544"/>
      <c r="E2" s="544"/>
      <c r="F2" s="544"/>
      <c r="G2" s="544"/>
      <c r="H2" s="544"/>
      <c r="I2" s="544"/>
    </row>
    <row r="3" spans="1:9" ht="18.75">
      <c r="A3" s="544" t="s">
        <v>399</v>
      </c>
      <c r="B3" s="544"/>
      <c r="C3" s="544"/>
      <c r="D3" s="544"/>
      <c r="E3" s="544"/>
      <c r="F3" s="544"/>
      <c r="G3" s="544"/>
      <c r="H3" s="544"/>
      <c r="I3" s="544"/>
    </row>
    <row r="4" spans="1:9">
      <c r="A4" s="545" t="str">
        <f ca="1">мз!A14</f>
        <v>МБОУ  "Кадетская школа № 46 г. Пензы"</v>
      </c>
      <c r="B4" s="545"/>
      <c r="C4" s="545"/>
      <c r="D4" s="545"/>
      <c r="E4" s="545"/>
      <c r="F4" s="545"/>
      <c r="G4" s="545"/>
      <c r="H4" s="545"/>
      <c r="I4" s="545"/>
    </row>
    <row r="5" spans="1:9" ht="18.75">
      <c r="A5" s="544"/>
      <c r="B5" s="544"/>
      <c r="C5" s="544"/>
      <c r="D5" s="544"/>
      <c r="E5" s="544"/>
    </row>
    <row r="7" spans="1:9" s="254" customFormat="1" ht="30" customHeight="1">
      <c r="A7" s="543" t="s">
        <v>328</v>
      </c>
      <c r="B7" s="543" t="s">
        <v>329</v>
      </c>
      <c r="C7" s="543" t="s">
        <v>398</v>
      </c>
      <c r="D7" s="543" t="s">
        <v>330</v>
      </c>
      <c r="E7" s="543"/>
      <c r="F7" s="543" t="s">
        <v>331</v>
      </c>
      <c r="G7" s="543"/>
      <c r="H7" s="546" t="s">
        <v>332</v>
      </c>
      <c r="I7" s="547" t="s">
        <v>333</v>
      </c>
    </row>
    <row r="8" spans="1:9" ht="45">
      <c r="A8" s="543"/>
      <c r="B8" s="543"/>
      <c r="C8" s="543"/>
      <c r="D8" s="255" t="s">
        <v>334</v>
      </c>
      <c r="E8" s="255" t="s">
        <v>335</v>
      </c>
      <c r="F8" s="255" t="s">
        <v>334</v>
      </c>
      <c r="G8" s="255" t="s">
        <v>335</v>
      </c>
      <c r="H8" s="546"/>
      <c r="I8" s="548"/>
    </row>
    <row r="9" spans="1:9" ht="45">
      <c r="A9" s="256"/>
      <c r="B9" s="257" t="s">
        <v>336</v>
      </c>
      <c r="C9" s="258">
        <f ca="1">'проверка 2017'!C6</f>
        <v>21024165.490000002</v>
      </c>
      <c r="D9" s="258">
        <v>20649075.710000001</v>
      </c>
      <c r="E9" s="258">
        <v>6886869.0199999996</v>
      </c>
      <c r="F9" s="258">
        <v>20649075.710000001</v>
      </c>
      <c r="G9" s="258">
        <v>6912442.4299999997</v>
      </c>
      <c r="H9" s="258">
        <f>D9-F9</f>
        <v>0</v>
      </c>
      <c r="I9" s="259"/>
    </row>
    <row r="10" spans="1:9" ht="45">
      <c r="A10" s="260">
        <f>A9+1</f>
        <v>1</v>
      </c>
      <c r="B10" s="255" t="s">
        <v>266</v>
      </c>
      <c r="C10" s="261">
        <f ca="1">('проверка 2017'!I4+'проверка 2017'!J4)*'проверка 2017'!I33</f>
        <v>8455770.3300000001</v>
      </c>
      <c r="D10" s="261">
        <f>ROUND($C$10/$C$9*D9,2)</f>
        <v>8304911.8799999999</v>
      </c>
      <c r="E10" s="261">
        <f>ROUND($C$10/$C$9*E9,2)</f>
        <v>2769849.9</v>
      </c>
      <c r="F10" s="261">
        <f>ROUND($C$10/$C$9*F9,2)</f>
        <v>8304911.8799999999</v>
      </c>
      <c r="G10" s="261">
        <f>ROUND($C$10/$C$9*G9,2)</f>
        <v>2780135.35</v>
      </c>
      <c r="H10" s="261">
        <f>D10-F10</f>
        <v>0</v>
      </c>
      <c r="I10" s="262"/>
    </row>
    <row r="11" spans="1:9" ht="45">
      <c r="A11" s="260">
        <f>A10+1</f>
        <v>2</v>
      </c>
      <c r="B11" s="255" t="s">
        <v>267</v>
      </c>
      <c r="C11" s="261">
        <f ca="1">C9-C10-C12-C13</f>
        <v>10538411.940000001</v>
      </c>
      <c r="D11" s="261">
        <f>D9-D10-D12-D13</f>
        <v>10350397.310000002</v>
      </c>
      <c r="E11" s="261">
        <f>E9-E10-E12-E13</f>
        <v>3452059.1499999994</v>
      </c>
      <c r="F11" s="261">
        <f>F9-F10-F12-F13</f>
        <v>10350397.310000002</v>
      </c>
      <c r="G11" s="261">
        <f>G9-G10-G12-G13</f>
        <v>3464877.8699999996</v>
      </c>
      <c r="H11" s="261">
        <f>D11-F11</f>
        <v>0</v>
      </c>
      <c r="I11" s="262"/>
    </row>
    <row r="12" spans="1:9" ht="45">
      <c r="A12" s="260">
        <f>A11+1</f>
        <v>3</v>
      </c>
      <c r="B12" s="255" t="s">
        <v>268</v>
      </c>
      <c r="C12" s="261">
        <f ca="1">('проверка 2017'!M4+'проверка 2017'!N4)*'проверка 2017'!M33</f>
        <v>2029983.22</v>
      </c>
      <c r="D12" s="261">
        <f>ROUND($C$12/$C$9*D9,2)</f>
        <v>1993766.52</v>
      </c>
      <c r="E12" s="261">
        <f>ROUND($C$12/$C$9*E9,2)</f>
        <v>664959.97</v>
      </c>
      <c r="F12" s="261">
        <f>ROUND($C$12/$C$9*F9,2)</f>
        <v>1993766.52</v>
      </c>
      <c r="G12" s="261">
        <f>ROUND($C$12/$C$9*G9,2)</f>
        <v>667429.21</v>
      </c>
      <c r="H12" s="261">
        <f>D12-F12</f>
        <v>0</v>
      </c>
      <c r="I12" s="262"/>
    </row>
    <row r="13" spans="1:9" ht="55.5" customHeight="1">
      <c r="A13" s="260">
        <f>A12+1</f>
        <v>4</v>
      </c>
      <c r="B13" s="255" t="s">
        <v>270</v>
      </c>
      <c r="C13" s="261">
        <f ca="1">'проверка 2017'!O4*'проверка 2017'!O33</f>
        <v>0</v>
      </c>
      <c r="D13" s="261">
        <f>ROUND($C$13/$C$9*D9,2)</f>
        <v>0</v>
      </c>
      <c r="E13" s="261">
        <f>ROUND($C$13/$C$9*E9,2)</f>
        <v>0</v>
      </c>
      <c r="F13" s="261">
        <f>ROUND($C$13/$C$9*F9,2)</f>
        <v>0</v>
      </c>
      <c r="G13" s="261">
        <f>ROUND($C$13/$C$9*G9,2)</f>
        <v>0</v>
      </c>
      <c r="H13" s="261">
        <f>D13-F13</f>
        <v>0</v>
      </c>
      <c r="I13" s="262"/>
    </row>
    <row r="14" spans="1:9" ht="164.25" hidden="1" customHeight="1">
      <c r="A14" s="260">
        <f>A13+1</f>
        <v>5</v>
      </c>
      <c r="B14" s="255" t="s">
        <v>337</v>
      </c>
      <c r="C14" s="261"/>
      <c r="D14" s="261"/>
      <c r="E14" s="261"/>
      <c r="F14" s="261"/>
      <c r="G14" s="261"/>
      <c r="H14" s="261"/>
      <c r="I14" s="263"/>
    </row>
    <row r="16" spans="1:9">
      <c r="B16" t="s">
        <v>118</v>
      </c>
    </row>
    <row r="17" spans="2:6" ht="30">
      <c r="B17" s="356" t="str">
        <f ca="1">свод!A119</f>
        <v>Директор МБОУ "Кадетская школа № 46 г. Пензы"</v>
      </c>
      <c r="C17" s="355" t="s">
        <v>380</v>
      </c>
      <c r="D17" s="355" t="str">
        <f ca="1">свод!E119</f>
        <v>В.А.Борисов</v>
      </c>
      <c r="E17" s="355"/>
      <c r="F17" s="355"/>
    </row>
    <row r="18" spans="2:6">
      <c r="B18" s="300"/>
      <c r="C18" s="300"/>
      <c r="D18" s="300"/>
      <c r="E18" s="300"/>
      <c r="F18" s="300"/>
    </row>
    <row r="19" spans="2:6">
      <c r="B19" s="356" t="str">
        <f ca="1">свод!A121</f>
        <v xml:space="preserve">Гл.бухгалтер  </v>
      </c>
      <c r="C19" s="355" t="s">
        <v>380</v>
      </c>
      <c r="D19" s="355" t="str">
        <f ca="1">свод!E121</f>
        <v>Н.Е.Нелюбова</v>
      </c>
      <c r="E19" s="355"/>
      <c r="F19" s="355"/>
    </row>
    <row r="20" spans="2:6">
      <c r="B20" s="300"/>
      <c r="C20" s="300"/>
      <c r="D20" s="300"/>
      <c r="E20" s="300"/>
      <c r="F20" s="300"/>
    </row>
    <row r="21" spans="2:6">
      <c r="B21" s="264"/>
      <c r="C21" s="264"/>
      <c r="D21" s="264"/>
      <c r="E21" s="264"/>
      <c r="F21" s="264"/>
    </row>
  </sheetData>
  <mergeCells count="12">
    <mergeCell ref="I7:I8"/>
    <mergeCell ref="A7:A8"/>
    <mergeCell ref="B7:B8"/>
    <mergeCell ref="C7:C8"/>
    <mergeCell ref="A5:E5"/>
    <mergeCell ref="D7:E7"/>
    <mergeCell ref="A1:I1"/>
    <mergeCell ref="A2:I2"/>
    <mergeCell ref="A3:I3"/>
    <mergeCell ref="A4:I4"/>
    <mergeCell ref="F7:G7"/>
    <mergeCell ref="H7:H8"/>
  </mergeCells>
  <phoneticPr fontId="0" type="noConversion"/>
  <pageMargins left="0" right="0" top="0.15748031496062992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C127"/>
  <sheetViews>
    <sheetView view="pageBreakPreview" topLeftCell="A75" zoomScaleSheetLayoutView="100" workbookViewId="0">
      <selection activeCell="A127" sqref="A127"/>
    </sheetView>
  </sheetViews>
  <sheetFormatPr defaultRowHeight="12.75"/>
  <cols>
    <col min="1" max="1" width="29.85546875" style="68" customWidth="1"/>
    <col min="2" max="2" width="5" style="68" customWidth="1"/>
    <col min="3" max="3" width="20.140625" style="68" hidden="1" customWidth="1"/>
    <col min="4" max="4" width="11.7109375" style="68" customWidth="1"/>
    <col min="5" max="5" width="12" style="68" customWidth="1"/>
    <col min="6" max="6" width="15.85546875" style="68" customWidth="1"/>
    <col min="7" max="10" width="14.28515625" style="69" customWidth="1"/>
    <col min="11" max="81" width="9.140625" style="69"/>
    <col min="82" max="16384" width="9.140625" style="68"/>
  </cols>
  <sheetData>
    <row r="1" spans="1:81" ht="36.75" customHeight="1">
      <c r="A1" s="456" t="s">
        <v>246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81" ht="31.5" customHeight="1">
      <c r="A2" s="206" t="s">
        <v>285</v>
      </c>
      <c r="B2" s="461" t="str">
        <f ca="1">мз!A14</f>
        <v>МБОУ  "Кадетская школа № 46 г. Пензы"</v>
      </c>
      <c r="C2" s="461"/>
      <c r="D2" s="461"/>
      <c r="E2" s="461"/>
      <c r="F2" s="461"/>
      <c r="G2" s="461"/>
      <c r="H2" s="461"/>
      <c r="I2" s="461"/>
      <c r="J2" s="461"/>
      <c r="K2" s="161"/>
      <c r="N2" s="161"/>
      <c r="O2" s="161"/>
    </row>
    <row r="3" spans="1:81" ht="46.5" customHeight="1">
      <c r="A3" s="464" t="s">
        <v>272</v>
      </c>
      <c r="B3" s="464"/>
      <c r="C3" s="464"/>
      <c r="D3" s="464"/>
      <c r="E3" s="464"/>
      <c r="F3" s="464"/>
      <c r="G3" s="214" t="s">
        <v>266</v>
      </c>
      <c r="H3" s="214" t="s">
        <v>267</v>
      </c>
      <c r="I3" s="214" t="s">
        <v>268</v>
      </c>
      <c r="J3" s="214" t="s">
        <v>270</v>
      </c>
    </row>
    <row r="4" spans="1:81" ht="8.25" customHeight="1"/>
    <row r="5" spans="1:81" ht="23.25" customHeight="1">
      <c r="A5" s="449" t="s">
        <v>245</v>
      </c>
      <c r="B5" s="449"/>
      <c r="C5" s="449"/>
      <c r="D5" s="449"/>
      <c r="E5" s="449"/>
      <c r="F5" s="449"/>
      <c r="G5" s="449"/>
      <c r="H5" s="449"/>
      <c r="I5" s="449"/>
      <c r="J5" s="449"/>
    </row>
    <row r="6" spans="1:81" ht="25.5" customHeight="1">
      <c r="A6" s="160" t="s">
        <v>244</v>
      </c>
      <c r="B6" s="158"/>
      <c r="C6" s="158"/>
      <c r="E6" s="158"/>
      <c r="F6" s="159">
        <f>G6+H6+I6+J6</f>
        <v>606</v>
      </c>
      <c r="G6" s="159">
        <f ca="1">'проверка 2017'!I4+'проверка 2017'!J4</f>
        <v>291</v>
      </c>
      <c r="H6" s="159">
        <f ca="1">'проверка 2017'!K4+'проверка 2017'!L4</f>
        <v>269</v>
      </c>
      <c r="I6" s="159">
        <f ca="1">'проверка 2017'!M4+'проверка 2017'!N4</f>
        <v>46</v>
      </c>
      <c r="J6" s="159">
        <f ca="1">'проверка 2017'!O4</f>
        <v>0</v>
      </c>
    </row>
    <row r="7" spans="1:81" ht="9" customHeight="1" thickBot="1">
      <c r="M7" s="111"/>
      <c r="N7" s="111"/>
      <c r="O7" s="111"/>
      <c r="P7" s="111"/>
    </row>
    <row r="8" spans="1:81" ht="102.75" customHeight="1" thickBot="1">
      <c r="A8" s="211" t="s">
        <v>243</v>
      </c>
      <c r="B8" s="212" t="s">
        <v>242</v>
      </c>
      <c r="C8" s="212" t="s">
        <v>113</v>
      </c>
      <c r="D8" s="212" t="s">
        <v>241</v>
      </c>
      <c r="E8" s="212" t="s">
        <v>112</v>
      </c>
      <c r="F8" s="213" t="s">
        <v>240</v>
      </c>
      <c r="G8" s="212" t="s">
        <v>241</v>
      </c>
      <c r="H8" s="212" t="s">
        <v>241</v>
      </c>
      <c r="I8" s="212" t="s">
        <v>241</v>
      </c>
      <c r="J8" s="212" t="s">
        <v>241</v>
      </c>
      <c r="M8" s="111"/>
      <c r="N8" s="111"/>
      <c r="O8" s="111"/>
      <c r="P8" s="111"/>
    </row>
    <row r="9" spans="1:81" ht="27.75" customHeight="1" thickBot="1">
      <c r="A9" s="450" t="s">
        <v>239</v>
      </c>
      <c r="B9" s="451"/>
      <c r="C9" s="451"/>
      <c r="D9" s="451"/>
      <c r="E9" s="451"/>
      <c r="F9" s="451"/>
      <c r="G9" s="451"/>
      <c r="H9" s="451"/>
      <c r="I9" s="451"/>
      <c r="J9" s="452"/>
      <c r="M9" s="111"/>
      <c r="N9" s="111"/>
      <c r="O9" s="111"/>
      <c r="P9" s="111"/>
    </row>
    <row r="10" spans="1:81" ht="45.75" customHeight="1">
      <c r="A10" s="152" t="s">
        <v>236</v>
      </c>
      <c r="B10" s="102" t="s">
        <v>210</v>
      </c>
      <c r="C10" s="157">
        <v>5</v>
      </c>
      <c r="D10" s="102">
        <f>ROUND(F10/F6,2)</f>
        <v>13197.31</v>
      </c>
      <c r="E10" s="102"/>
      <c r="F10" s="181">
        <f t="shared" ref="F10:I11" si="0">F16+F21</f>
        <v>7997572</v>
      </c>
      <c r="G10" s="181">
        <f>G16+G21</f>
        <v>8868.81</v>
      </c>
      <c r="H10" s="181">
        <f t="shared" si="0"/>
        <v>16640.39</v>
      </c>
      <c r="I10" s="181">
        <f t="shared" si="0"/>
        <v>20445.18</v>
      </c>
      <c r="J10" s="181">
        <f>J16+J21</f>
        <v>0</v>
      </c>
      <c r="K10" s="116">
        <f ca="1">свод!G10*свод!G6+свод!H10*свод!H6+свод!I10*свод!I6</f>
        <v>7997566.9000000004</v>
      </c>
      <c r="L10" s="69">
        <f>K10/F6</f>
        <v>13197.305115511552</v>
      </c>
      <c r="M10" s="111"/>
      <c r="N10" s="111"/>
      <c r="O10" s="111"/>
      <c r="P10" s="111"/>
    </row>
    <row r="11" spans="1:81" ht="46.5" customHeight="1">
      <c r="A11" s="150" t="s">
        <v>235</v>
      </c>
      <c r="B11" s="97" t="s">
        <v>210</v>
      </c>
      <c r="C11" s="148">
        <v>9</v>
      </c>
      <c r="D11" s="133">
        <f>ROUND(F11/F6,2)</f>
        <v>3985.59</v>
      </c>
      <c r="E11" s="97"/>
      <c r="F11" s="182">
        <f t="shared" si="0"/>
        <v>2415267</v>
      </c>
      <c r="G11" s="182">
        <f t="shared" si="0"/>
        <v>2678.3800000000028</v>
      </c>
      <c r="H11" s="182">
        <f t="shared" si="0"/>
        <v>5025.4000000000051</v>
      </c>
      <c r="I11" s="182">
        <f t="shared" si="0"/>
        <v>6174.4499999999971</v>
      </c>
      <c r="J11" s="182">
        <f>J17+J22</f>
        <v>0</v>
      </c>
      <c r="K11" s="116">
        <f ca="1">свод!G11*свод!G6+свод!H11*свод!H6+свод!I11*свод!I6</f>
        <v>2415265.8800000018</v>
      </c>
      <c r="L11" s="69">
        <f>K11/F6</f>
        <v>3985.5872607260753</v>
      </c>
      <c r="M11" s="111"/>
      <c r="N11" s="111"/>
      <c r="O11" s="111"/>
      <c r="P11" s="111"/>
    </row>
    <row r="12" spans="1:81" ht="22.5">
      <c r="A12" s="150" t="s">
        <v>322</v>
      </c>
      <c r="B12" s="97" t="s">
        <v>210</v>
      </c>
      <c r="C12" s="148"/>
      <c r="D12" s="133">
        <f>ROUND(F12/F6,2)</f>
        <v>36.67</v>
      </c>
      <c r="E12" s="97"/>
      <c r="F12" s="133">
        <f>F23</f>
        <v>22222</v>
      </c>
      <c r="G12" s="182">
        <f>G23</f>
        <v>36.67</v>
      </c>
      <c r="H12" s="182">
        <f>H23</f>
        <v>36.67</v>
      </c>
      <c r="I12" s="133">
        <f>I23</f>
        <v>36.67</v>
      </c>
      <c r="J12" s="133">
        <f>J23</f>
        <v>0</v>
      </c>
      <c r="K12" s="116">
        <f ca="1">свод!G12*свод!G6+свод!H12*свод!H6+свод!I12*свод!I6</f>
        <v>22222.02</v>
      </c>
      <c r="L12" s="69">
        <f>K12/F6</f>
        <v>36.67</v>
      </c>
      <c r="M12" s="111"/>
      <c r="N12" s="111"/>
      <c r="O12" s="111"/>
      <c r="P12" s="111"/>
    </row>
    <row r="13" spans="1:81" ht="44.25" customHeight="1">
      <c r="A13" s="155" t="s">
        <v>265</v>
      </c>
      <c r="B13" s="97" t="s">
        <v>210</v>
      </c>
      <c r="C13" s="97"/>
      <c r="D13" s="133">
        <f>ROUND(F13/F6,2)</f>
        <v>538.41</v>
      </c>
      <c r="E13" s="97"/>
      <c r="F13" s="182">
        <f>F18+F24</f>
        <v>326274</v>
      </c>
      <c r="G13" s="182">
        <f>G18+G24</f>
        <v>538.41</v>
      </c>
      <c r="H13" s="133">
        <f>H18+H24</f>
        <v>538.41</v>
      </c>
      <c r="I13" s="133">
        <f>I18+I24</f>
        <v>538.41</v>
      </c>
      <c r="J13" s="133">
        <f>J18+J24</f>
        <v>0</v>
      </c>
      <c r="K13" s="116">
        <f ca="1">свод!G13*свод!G6+свод!H13*свод!H6+свод!I13*свод!I6</f>
        <v>326276.45999999996</v>
      </c>
      <c r="L13" s="69">
        <f>K13/F6</f>
        <v>538.41</v>
      </c>
      <c r="M13" s="111"/>
      <c r="N13" s="111"/>
      <c r="O13" s="111"/>
      <c r="P13" s="111"/>
    </row>
    <row r="14" spans="1:81" s="116" customFormat="1" ht="18" customHeight="1" thickBot="1">
      <c r="A14" s="154" t="s">
        <v>127</v>
      </c>
      <c r="B14" s="147"/>
      <c r="C14" s="147"/>
      <c r="D14" s="147">
        <f>SUM(D10:E13)-0.01</f>
        <v>17757.97</v>
      </c>
      <c r="E14" s="147"/>
      <c r="F14" s="147">
        <f>SUM(F10:F13)</f>
        <v>10761335</v>
      </c>
      <c r="G14" s="147">
        <f>IF(G6=0,0,G10+G11+G12)+IF(G8=0,0,G9/G6)+G13</f>
        <v>12122.270000000002</v>
      </c>
      <c r="H14" s="147">
        <f>IF(H6=0,0,H10+H11+H12)+IF(H6=0,0,H9/H6)+H13</f>
        <v>22240.870000000003</v>
      </c>
      <c r="I14" s="147">
        <f>IF(I6=0,0,I10+I11+I12)+IF(I6=0,0,I9/I6)+I13</f>
        <v>27194.709999999995</v>
      </c>
      <c r="J14" s="147">
        <f>IF(J6=0,0,(J10+J11+J12)+IF(J8=0,0,J9/J6)+J13)</f>
        <v>0</v>
      </c>
      <c r="K14" s="116">
        <f ca="1">свод!G14*свод!G6+свод!H14*свод!H6+свод!I14*свод!I6</f>
        <v>10761331.260000002</v>
      </c>
      <c r="L14" s="69">
        <f>K14/F6</f>
        <v>17757.972376237627</v>
      </c>
      <c r="M14" s="111"/>
      <c r="N14" s="111"/>
      <c r="O14" s="111"/>
      <c r="P14" s="111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</row>
    <row r="15" spans="1:81" s="111" customFormat="1" ht="26.25" customHeight="1" thickBot="1">
      <c r="A15" s="458" t="s">
        <v>238</v>
      </c>
      <c r="B15" s="459"/>
      <c r="C15" s="459"/>
      <c r="D15" s="459"/>
      <c r="E15" s="459"/>
      <c r="F15" s="459"/>
      <c r="G15" s="459"/>
      <c r="H15" s="459"/>
      <c r="I15" s="459"/>
      <c r="J15" s="459"/>
    </row>
    <row r="16" spans="1:81" s="111" customFormat="1" ht="47.25" customHeight="1">
      <c r="A16" s="152" t="s">
        <v>236</v>
      </c>
      <c r="B16" s="102" t="s">
        <v>210</v>
      </c>
      <c r="C16" s="102">
        <v>5</v>
      </c>
      <c r="D16" s="181">
        <f>ROUND(F16/F6,2)</f>
        <v>0</v>
      </c>
      <c r="E16" s="102"/>
      <c r="F16" s="181">
        <f ca="1">'пр.1+2 '!F9</f>
        <v>0</v>
      </c>
      <c r="G16" s="181">
        <f>IF(G$6=0,0,D16)</f>
        <v>0</v>
      </c>
      <c r="H16" s="181">
        <f>IF(H$6=0,0,D16)</f>
        <v>0</v>
      </c>
      <c r="I16" s="181">
        <f>IF(I$6=0,0,D16)</f>
        <v>0</v>
      </c>
      <c r="J16" s="101">
        <f>IF(J$6=0,0,D16)</f>
        <v>0</v>
      </c>
    </row>
    <row r="17" spans="1:81" s="111" customFormat="1" ht="49.5" customHeight="1">
      <c r="A17" s="150" t="s">
        <v>235</v>
      </c>
      <c r="B17" s="97" t="s">
        <v>210</v>
      </c>
      <c r="C17" s="97">
        <v>9</v>
      </c>
      <c r="D17" s="183">
        <f>ROUND(F17/F6,2)</f>
        <v>0</v>
      </c>
      <c r="E17" s="97"/>
      <c r="F17" s="357">
        <f ca="1">'пр.1+2 '!G9</f>
        <v>0</v>
      </c>
      <c r="G17" s="183">
        <f>IF(G$6=0,0,D17)</f>
        <v>0</v>
      </c>
      <c r="H17" s="183">
        <f>IF(H$6=0,0,D17)</f>
        <v>0</v>
      </c>
      <c r="I17" s="183">
        <f>IF(I$6=0,0,D17)</f>
        <v>0</v>
      </c>
      <c r="J17" s="96">
        <f>IF(J$6=0,0,D17)</f>
        <v>0</v>
      </c>
    </row>
    <row r="18" spans="1:81" s="111" customFormat="1" ht="42.75" customHeight="1">
      <c r="A18" s="155" t="s">
        <v>234</v>
      </c>
      <c r="B18" s="97" t="s">
        <v>210</v>
      </c>
      <c r="C18" s="97"/>
      <c r="D18" s="183">
        <f>ROUND(F18/F6,2)</f>
        <v>0</v>
      </c>
      <c r="E18" s="97"/>
      <c r="F18" s="183">
        <f ca="1">'пр.1+2 '!D13</f>
        <v>0</v>
      </c>
      <c r="G18" s="183">
        <f>IF(G$6=0,0,D18)</f>
        <v>0</v>
      </c>
      <c r="H18" s="183">
        <f>IF(H$6=0,0,D18)</f>
        <v>0</v>
      </c>
      <c r="I18" s="183">
        <f>IF(I$6=0,0,D18)</f>
        <v>0</v>
      </c>
      <c r="J18" s="96">
        <f>IF(J$6=0,0,D18)</f>
        <v>0</v>
      </c>
    </row>
    <row r="19" spans="1:81" s="111" customFormat="1" ht="21.75" customHeight="1" thickBot="1">
      <c r="A19" s="154" t="s">
        <v>127</v>
      </c>
      <c r="B19" s="147"/>
      <c r="C19" s="147"/>
      <c r="D19" s="153">
        <f>SUM(D16:D18)</f>
        <v>0</v>
      </c>
      <c r="E19" s="147"/>
      <c r="F19" s="153">
        <f ca="1">SUM(F16:F18)</f>
        <v>0</v>
      </c>
      <c r="G19" s="153">
        <f>SUM(G16:G18)</f>
        <v>0</v>
      </c>
      <c r="H19" s="153">
        <f>SUM(H16:H18)</f>
        <v>0</v>
      </c>
      <c r="I19" s="153">
        <f>SUM(I16:I18)</f>
        <v>0</v>
      </c>
      <c r="J19" s="127">
        <f>SUM(J16:J18)</f>
        <v>0</v>
      </c>
    </row>
    <row r="20" spans="1:81" s="111" customFormat="1" ht="25.5" customHeight="1" thickBot="1">
      <c r="A20" s="453" t="s">
        <v>237</v>
      </c>
      <c r="B20" s="454"/>
      <c r="C20" s="454"/>
      <c r="D20" s="454"/>
      <c r="E20" s="454"/>
      <c r="F20" s="454"/>
      <c r="G20" s="454"/>
      <c r="H20" s="454"/>
      <c r="I20" s="454"/>
      <c r="J20" s="454"/>
      <c r="M20" s="69"/>
      <c r="N20" s="69"/>
      <c r="O20" s="69"/>
      <c r="P20" s="69"/>
    </row>
    <row r="21" spans="1:81" s="111" customFormat="1" ht="46.5" customHeight="1">
      <c r="A21" s="152" t="s">
        <v>236</v>
      </c>
      <c r="B21" s="102" t="s">
        <v>210</v>
      </c>
      <c r="C21" s="157">
        <v>5</v>
      </c>
      <c r="D21" s="181">
        <f>ROUND(F21/F6,2)</f>
        <v>13197.31</v>
      </c>
      <c r="E21" s="102"/>
      <c r="F21" s="181">
        <f ca="1">'пр.1+2 '!F42</f>
        <v>7997572</v>
      </c>
      <c r="G21" s="181">
        <f ca="1">IF(G6=0,0,ROUND((ROUND(('проверка 2017'!I18*'проверка 2017'!I4+'проверка 2017'!J18*'проверка 2017'!J4)/('проверка 2017'!I4+'проверка 2017'!J4),2)-свод!G37-свод!G23-свод!G24)/1.302,2))</f>
        <v>8868.81</v>
      </c>
      <c r="H21" s="181">
        <f ca="1">IF(H6=0,0,ROUND((ROUND(('проверка 2017'!K18*'проверка 2017'!K4+'проверка 2017'!L18*'проверка 2017'!L4)/('проверка 2017'!K4+'проверка 2017'!L4),2)-свод!H37-свод!H23-свод!H24)/1.302,2))</f>
        <v>16640.39</v>
      </c>
      <c r="I21" s="181">
        <f ca="1">IF(I6=0,0,ROUND((ROUND(('проверка 2017'!M18*'проверка 2017'!M4+'проверка 2017'!N18*'проверка 2017'!N4)/('проверка 2017'!M4+'проверка 2017'!N4),2)-свод!I37-свод!I23-свод!I24)/1.302,2))</f>
        <v>20445.18</v>
      </c>
      <c r="J21" s="101">
        <f ca="1">IF(J6=0,0,ROUND(('проверка 2017'!O18-свод!J37-свод!J23-свод!J24)/1.302,2))</f>
        <v>0</v>
      </c>
      <c r="M21" s="69"/>
      <c r="N21" s="69"/>
      <c r="O21" s="69"/>
      <c r="P21" s="69"/>
    </row>
    <row r="22" spans="1:81" s="111" customFormat="1" ht="49.5" customHeight="1">
      <c r="A22" s="150" t="s">
        <v>235</v>
      </c>
      <c r="B22" s="97" t="s">
        <v>210</v>
      </c>
      <c r="C22" s="148">
        <v>9</v>
      </c>
      <c r="D22" s="182">
        <f>ROUND(F22/F6,2)</f>
        <v>3985.59</v>
      </c>
      <c r="E22" s="97"/>
      <c r="F22" s="358">
        <f ca="1">'пр.1+2 '!G42+'пр.1+2 '!D54+'пр.1+2 '!D55</f>
        <v>2415267</v>
      </c>
      <c r="G22" s="182">
        <f ca="1">IF(G6=0,0,ROUND(('проверка 2017'!I18*'проверка 2017'!I4+'проверка 2017'!J18*'проверка 2017'!J4)/('проверка 2017'!I4+'проверка 2017'!J4),2)-свод!G23-свод!G24-свод!G37-свод!G21)</f>
        <v>2678.3800000000028</v>
      </c>
      <c r="H22" s="182">
        <f ca="1">IF(H6=0,0,ROUND(('проверка 2017'!K18*'проверка 2017'!K4+'проверка 2017'!L18*'проверка 2017'!L4)/('проверка 2017'!K4+'проверка 2017'!L4),2)-свод!H23-свод!H24-свод!H37-свод!H21)</f>
        <v>5025.4000000000051</v>
      </c>
      <c r="I22" s="182">
        <f ca="1">IF(I6=0,0,ROUND(('проверка 2017'!N18*'проверка 2017'!N4+'проверка 2017'!M18*'проверка 2017'!M4)/('проверка 2017'!N4+'проверка 2017'!M4),2)-свод!I23-свод!I24-свод!I37-свод!I21)</f>
        <v>6174.4499999999971</v>
      </c>
      <c r="J22" s="156">
        <f ca="1">IF(J6=0,0,'проверка 2017'!O18-свод!J23-свод!J24-свод!J37-свод!J21)</f>
        <v>0</v>
      </c>
      <c r="N22" s="69"/>
      <c r="O22" s="69"/>
      <c r="P22" s="69"/>
    </row>
    <row r="23" spans="1:81" s="111" customFormat="1" ht="22.5">
      <c r="A23" s="150" t="s">
        <v>323</v>
      </c>
      <c r="B23" s="97" t="s">
        <v>210</v>
      </c>
      <c r="C23" s="148"/>
      <c r="D23" s="182">
        <f>ROUND(F23/F6,2)</f>
        <v>36.67</v>
      </c>
      <c r="E23" s="97"/>
      <c r="F23" s="182">
        <f ca="1">'пр.1+2 '!D46</f>
        <v>22222</v>
      </c>
      <c r="G23" s="182">
        <f>IF(G$6=0,0,D23)</f>
        <v>36.67</v>
      </c>
      <c r="H23" s="182">
        <f>IF(H$6=0,0,D23)</f>
        <v>36.67</v>
      </c>
      <c r="I23" s="182">
        <f>IF(I$6=0,0,D23)</f>
        <v>36.67</v>
      </c>
      <c r="J23" s="156">
        <f>IF(J$6=0,0,D23)</f>
        <v>0</v>
      </c>
      <c r="M23" s="69"/>
      <c r="N23" s="69"/>
      <c r="O23" s="69"/>
      <c r="P23" s="69"/>
    </row>
    <row r="24" spans="1:81" s="111" customFormat="1" ht="44.25" customHeight="1">
      <c r="A24" s="155" t="s">
        <v>234</v>
      </c>
      <c r="B24" s="97" t="s">
        <v>210</v>
      </c>
      <c r="C24" s="97"/>
      <c r="D24" s="183">
        <f>ROUND(F24/F6,2)</f>
        <v>538.41</v>
      </c>
      <c r="E24" s="97"/>
      <c r="F24" s="183">
        <f ca="1">'пр.1+2 '!D49+'пр.1+2 '!D50+'пр.1+2 '!D47+'пр.1+2 '!D48</f>
        <v>326274</v>
      </c>
      <c r="G24" s="183">
        <f>IF(G$6=0,0,$D$24)</f>
        <v>538.41</v>
      </c>
      <c r="H24" s="183">
        <f>IF(H$6=0,0,$D$24)</f>
        <v>538.41</v>
      </c>
      <c r="I24" s="183">
        <f>IF(I$6=0,0,$D$24)</f>
        <v>538.41</v>
      </c>
      <c r="J24" s="96">
        <f>IF(J$6=0,0,$D$24)</f>
        <v>0</v>
      </c>
      <c r="M24" s="69"/>
      <c r="N24" s="69"/>
      <c r="O24" s="69"/>
      <c r="P24" s="69"/>
    </row>
    <row r="25" spans="1:81" s="111" customFormat="1" ht="21.75" customHeight="1" thickBot="1">
      <c r="A25" s="154" t="s">
        <v>127</v>
      </c>
      <c r="B25" s="147"/>
      <c r="C25" s="147"/>
      <c r="D25" s="153">
        <f t="shared" ref="D25:J25" si="1">SUM(D21:D24)</f>
        <v>17757.98</v>
      </c>
      <c r="E25" s="153">
        <f t="shared" si="1"/>
        <v>0</v>
      </c>
      <c r="F25" s="153">
        <f t="shared" si="1"/>
        <v>10761335</v>
      </c>
      <c r="G25" s="153">
        <f t="shared" si="1"/>
        <v>12122.270000000002</v>
      </c>
      <c r="H25" s="153">
        <f t="shared" si="1"/>
        <v>22240.870000000003</v>
      </c>
      <c r="I25" s="153">
        <f t="shared" si="1"/>
        <v>27194.709999999995</v>
      </c>
      <c r="J25" s="127">
        <f t="shared" si="1"/>
        <v>0</v>
      </c>
      <c r="K25" s="111">
        <f>G25*G6+H25*H6+I6*I25</f>
        <v>10761331.260000002</v>
      </c>
      <c r="L25" s="69">
        <f>K25/F6</f>
        <v>17757.972376237627</v>
      </c>
      <c r="M25" s="69"/>
      <c r="N25" s="69"/>
      <c r="O25" s="69"/>
    </row>
    <row r="26" spans="1:81" ht="21" customHeight="1">
      <c r="A26" s="448" t="s">
        <v>318</v>
      </c>
      <c r="B26" s="448"/>
      <c r="C26" s="448"/>
      <c r="D26" s="448"/>
      <c r="E26" s="448"/>
      <c r="F26" s="448"/>
      <c r="G26" s="448"/>
      <c r="H26" s="448"/>
      <c r="I26" s="448"/>
      <c r="J26" s="448"/>
    </row>
    <row r="27" spans="1:81" ht="33.75" customHeight="1" thickBot="1">
      <c r="A27" s="460" t="s">
        <v>233</v>
      </c>
      <c r="B27" s="460"/>
      <c r="C27" s="460"/>
      <c r="D27" s="460"/>
      <c r="E27" s="460"/>
      <c r="F27" s="460"/>
      <c r="G27" s="460"/>
      <c r="H27" s="460"/>
      <c r="I27" s="460"/>
      <c r="J27" s="460"/>
    </row>
    <row r="28" spans="1:81" ht="44.25" customHeight="1">
      <c r="A28" s="152" t="s">
        <v>230</v>
      </c>
      <c r="B28" s="102" t="s">
        <v>210</v>
      </c>
      <c r="C28" s="102">
        <v>5</v>
      </c>
      <c r="D28" s="102">
        <f t="shared" ref="D28:F30" si="2">D34+D39</f>
        <v>9353.17</v>
      </c>
      <c r="E28" s="102"/>
      <c r="F28" s="241">
        <f t="shared" si="2"/>
        <v>5668021</v>
      </c>
      <c r="G28" s="102">
        <f>IF(G$6=0,0,D28)</f>
        <v>9353.17</v>
      </c>
      <c r="H28" s="102">
        <f>IF(H$6=0,0,D28)</f>
        <v>9353.17</v>
      </c>
      <c r="I28" s="102">
        <f>IF(I$6=0,0,D28)</f>
        <v>9353.17</v>
      </c>
      <c r="J28" s="102">
        <f>IF(J$6=0,0,D28)</f>
        <v>0</v>
      </c>
    </row>
    <row r="29" spans="1:81" ht="48" hidden="1" customHeight="1">
      <c r="A29" s="150" t="s">
        <v>230</v>
      </c>
      <c r="B29" s="97" t="s">
        <v>210</v>
      </c>
      <c r="C29" s="97">
        <v>4</v>
      </c>
      <c r="D29" s="97">
        <f t="shared" si="2"/>
        <v>0</v>
      </c>
      <c r="E29" s="97"/>
      <c r="F29" s="142">
        <f t="shared" si="2"/>
        <v>0</v>
      </c>
      <c r="G29" s="97">
        <f>IF(G$6=0,0,D29)</f>
        <v>0</v>
      </c>
      <c r="H29" s="97">
        <f>IF(H$6=0,0,D29)</f>
        <v>0</v>
      </c>
      <c r="I29" s="97">
        <f>IF(I$6=0,0,D29)</f>
        <v>0</v>
      </c>
      <c r="J29" s="97">
        <f>IF(J$6=0,0,D29)</f>
        <v>0</v>
      </c>
    </row>
    <row r="30" spans="1:81" ht="56.25" customHeight="1">
      <c r="A30" s="150" t="s">
        <v>229</v>
      </c>
      <c r="B30" s="97" t="s">
        <v>210</v>
      </c>
      <c r="C30" s="97">
        <v>9</v>
      </c>
      <c r="D30" s="97">
        <f t="shared" si="2"/>
        <v>2800.91</v>
      </c>
      <c r="E30" s="97"/>
      <c r="F30" s="242">
        <f>F36+F41</f>
        <v>1697348</v>
      </c>
      <c r="G30" s="97">
        <f>IF(G$6=0,0,D30)</f>
        <v>2800.91</v>
      </c>
      <c r="H30" s="97">
        <f>IF(H$6=0,0,D30)</f>
        <v>2800.91</v>
      </c>
      <c r="I30" s="97">
        <f>IF(I$6=0,0,D30)</f>
        <v>2800.91</v>
      </c>
      <c r="J30" s="97">
        <f>IF(J$6=0,0,D30)</f>
        <v>0</v>
      </c>
    </row>
    <row r="31" spans="1:81" ht="26.25" customHeight="1">
      <c r="A31" s="150" t="s">
        <v>228</v>
      </c>
      <c r="B31" s="97" t="s">
        <v>210</v>
      </c>
      <c r="C31" s="97">
        <v>2</v>
      </c>
      <c r="D31" s="97">
        <f>D42</f>
        <v>4.4400000000000004</v>
      </c>
      <c r="E31" s="97"/>
      <c r="F31" s="96">
        <f>F42</f>
        <v>2693.54</v>
      </c>
      <c r="G31" s="97">
        <f>IF(G$6=0,0,D31)</f>
        <v>4.4400000000000004</v>
      </c>
      <c r="H31" s="97">
        <f>IF(H$6=0,0,D31)</f>
        <v>4.4400000000000004</v>
      </c>
      <c r="I31" s="97">
        <f>IF(I$6=0,0,D31)</f>
        <v>4.4400000000000004</v>
      </c>
      <c r="J31" s="97">
        <f>IF(J$6=0,0,D31)</f>
        <v>0</v>
      </c>
    </row>
    <row r="32" spans="1:81" s="116" customFormat="1" ht="25.5" customHeight="1" thickBot="1">
      <c r="A32" s="149" t="s">
        <v>127</v>
      </c>
      <c r="B32" s="147"/>
      <c r="C32" s="147"/>
      <c r="D32" s="153">
        <f>SUM(D28:D31)</f>
        <v>12158.52</v>
      </c>
      <c r="E32" s="147"/>
      <c r="F32" s="127">
        <f>SUM(F28:F31)</f>
        <v>7368062.54</v>
      </c>
      <c r="G32" s="153">
        <f>SUM(G28:G31)</f>
        <v>12158.52</v>
      </c>
      <c r="H32" s="153">
        <f>SUM(H28:H31)</f>
        <v>12158.52</v>
      </c>
      <c r="I32" s="153">
        <f>SUM(I28:I31)</f>
        <v>12158.52</v>
      </c>
      <c r="J32" s="153">
        <f>SUM(J28:J31)</f>
        <v>0</v>
      </c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</row>
    <row r="33" spans="1:81" ht="38.25" customHeight="1" thickBot="1">
      <c r="A33" s="469" t="s">
        <v>232</v>
      </c>
      <c r="B33" s="469"/>
      <c r="C33" s="469"/>
      <c r="D33" s="469"/>
      <c r="E33" s="469"/>
      <c r="F33" s="469"/>
      <c r="G33" s="469"/>
      <c r="H33" s="469"/>
      <c r="I33" s="469"/>
      <c r="J33" s="469"/>
      <c r="K33" s="69">
        <f>K34+K36+G23+G24</f>
        <v>22357.73</v>
      </c>
      <c r="L33" s="69">
        <f>L34+L36+H23+H24</f>
        <v>32476.330000000005</v>
      </c>
      <c r="M33" s="69">
        <f>M34+M36+I23+I24</f>
        <v>37430.17</v>
      </c>
      <c r="N33" s="69">
        <f ca="1">K33-('проверка 2017'!I18+'проверка 2017'!J18)</f>
        <v>-37.259999999998399</v>
      </c>
      <c r="O33" s="69">
        <f ca="1">L33-('проверка 2017'!K18+'проверка 2017'!L18)</f>
        <v>-37.259999999991123</v>
      </c>
      <c r="P33" s="69">
        <f ca="1">M33-('проверка 2017'!M18+'проверка 2017'!N18)</f>
        <v>-37.260000000009313</v>
      </c>
    </row>
    <row r="34" spans="1:81" ht="45.75" customHeight="1">
      <c r="A34" s="152" t="s">
        <v>230</v>
      </c>
      <c r="B34" s="102" t="s">
        <v>210</v>
      </c>
      <c r="C34" s="102">
        <v>5</v>
      </c>
      <c r="D34" s="102">
        <f>ROUND(F34/F6,2)</f>
        <v>7879.58</v>
      </c>
      <c r="E34" s="102">
        <v>1</v>
      </c>
      <c r="F34" s="102">
        <f ca="1">'пр.1+2 '!F93</f>
        <v>4775026</v>
      </c>
      <c r="G34" s="102">
        <f>IF(G$6=0,0,D34)</f>
        <v>7879.58</v>
      </c>
      <c r="H34" s="102">
        <f>IF(H$6=0,0,D34)</f>
        <v>7879.58</v>
      </c>
      <c r="I34" s="102">
        <f>IF(I$6=0,0,D34)</f>
        <v>7879.58</v>
      </c>
      <c r="J34" s="144">
        <f>IF(J$6=0,0,D34)</f>
        <v>0</v>
      </c>
      <c r="K34" s="69">
        <f t="shared" ref="K34:M35" si="3">G34+G21</f>
        <v>16748.39</v>
      </c>
      <c r="L34" s="172">
        <f>H34+H21</f>
        <v>24519.97</v>
      </c>
      <c r="M34" s="69">
        <f t="shared" si="3"/>
        <v>28324.760000000002</v>
      </c>
    </row>
    <row r="35" spans="1:81" ht="48" hidden="1" customHeight="1">
      <c r="A35" s="150" t="s">
        <v>230</v>
      </c>
      <c r="B35" s="97" t="s">
        <v>210</v>
      </c>
      <c r="C35" s="97"/>
      <c r="D35" s="97"/>
      <c r="E35" s="97"/>
      <c r="F35" s="97"/>
      <c r="G35" s="97">
        <f>IF(G$6=0,0,D35)</f>
        <v>0</v>
      </c>
      <c r="H35" s="97">
        <f>IF(H$6=0,0,D35)</f>
        <v>0</v>
      </c>
      <c r="I35" s="97">
        <f>IF(I$6=0,0,D35)</f>
        <v>0</v>
      </c>
      <c r="J35" s="142">
        <f>IF(J$6=0,0,D35)</f>
        <v>0</v>
      </c>
      <c r="K35" s="69">
        <f t="shared" si="3"/>
        <v>2678.3800000000028</v>
      </c>
      <c r="L35" s="69">
        <f t="shared" si="3"/>
        <v>5025.4000000000051</v>
      </c>
      <c r="M35" s="69">
        <f t="shared" si="3"/>
        <v>6174.4499999999971</v>
      </c>
    </row>
    <row r="36" spans="1:81" ht="53.25" customHeight="1">
      <c r="A36" s="150" t="s">
        <v>229</v>
      </c>
      <c r="B36" s="97" t="s">
        <v>210</v>
      </c>
      <c r="C36" s="97">
        <v>9</v>
      </c>
      <c r="D36" s="97">
        <f>ROUND(F36/F6,2)</f>
        <v>2355.88</v>
      </c>
      <c r="E36" s="97">
        <v>1</v>
      </c>
      <c r="F36" s="357">
        <f ca="1">'пр.1+2 '!G93+'пр.1+2 '!D97+'пр.1+2 '!D98</f>
        <v>1427662</v>
      </c>
      <c r="G36" s="97">
        <f>IF(G$6=0,0,D36)</f>
        <v>2355.88</v>
      </c>
      <c r="H36" s="97">
        <f>IF(H$6=0,0,D36)</f>
        <v>2355.88</v>
      </c>
      <c r="I36" s="97">
        <f>IF(I$6=0,0,D36)</f>
        <v>2355.88</v>
      </c>
      <c r="J36" s="142">
        <f>IF(J$6=0,0,D36)</f>
        <v>0</v>
      </c>
      <c r="K36" s="69">
        <f>G36+G22</f>
        <v>5034.2600000000029</v>
      </c>
      <c r="L36" s="69">
        <f>H36+H22</f>
        <v>7381.2800000000052</v>
      </c>
      <c r="M36" s="69">
        <f>I36+I22</f>
        <v>8530.3299999999981</v>
      </c>
    </row>
    <row r="37" spans="1:81" s="116" customFormat="1" ht="26.25" customHeight="1" thickBot="1">
      <c r="A37" s="149" t="s">
        <v>127</v>
      </c>
      <c r="B37" s="147"/>
      <c r="C37" s="147"/>
      <c r="D37" s="153">
        <f>SUM(D34:D36)</f>
        <v>10235.459999999999</v>
      </c>
      <c r="E37" s="147"/>
      <c r="F37" s="153">
        <f ca="1">SUM(F34:F36)</f>
        <v>6202688</v>
      </c>
      <c r="G37" s="153">
        <f>SUM(G34:G36)</f>
        <v>10235.459999999999</v>
      </c>
      <c r="H37" s="153">
        <f>SUM(H34:H36)</f>
        <v>10235.459999999999</v>
      </c>
      <c r="I37" s="153">
        <f>SUM(I34:I36)</f>
        <v>10235.459999999999</v>
      </c>
      <c r="J37" s="127">
        <f>SUM(J34:J36)</f>
        <v>0</v>
      </c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</row>
    <row r="38" spans="1:81" ht="39.75" customHeight="1" thickBot="1">
      <c r="A38" s="460" t="s">
        <v>231</v>
      </c>
      <c r="B38" s="460"/>
      <c r="C38" s="460"/>
      <c r="D38" s="460"/>
      <c r="E38" s="460"/>
      <c r="F38" s="460"/>
      <c r="G38" s="460"/>
      <c r="H38" s="460"/>
      <c r="I38" s="460"/>
      <c r="J38" s="460"/>
    </row>
    <row r="39" spans="1:81" ht="34.5" customHeight="1">
      <c r="A39" s="152" t="s">
        <v>230</v>
      </c>
      <c r="B39" s="102" t="s">
        <v>210</v>
      </c>
      <c r="C39" s="102">
        <v>5</v>
      </c>
      <c r="D39" s="102">
        <f>ROUND(F39/F6,2)</f>
        <v>1473.59</v>
      </c>
      <c r="E39" s="102">
        <v>1</v>
      </c>
      <c r="F39" s="101">
        <f ca="1">'пр.1+2 '!F75</f>
        <v>892995</v>
      </c>
      <c r="G39" s="102">
        <f>IF(G$6=0,0,D39)</f>
        <v>1473.59</v>
      </c>
      <c r="H39" s="102">
        <f>IF(H$6=0,0,D39)</f>
        <v>1473.59</v>
      </c>
      <c r="I39" s="102">
        <f>IF(I$6=0,0,D39)</f>
        <v>1473.59</v>
      </c>
      <c r="J39" s="102">
        <f>IF(J$6=0,0,D39)</f>
        <v>0</v>
      </c>
    </row>
    <row r="40" spans="1:81" ht="48" hidden="1" customHeight="1">
      <c r="A40" s="151" t="s">
        <v>230</v>
      </c>
      <c r="B40" s="97" t="s">
        <v>210</v>
      </c>
      <c r="C40" s="148">
        <v>4</v>
      </c>
      <c r="D40" s="133"/>
      <c r="E40" s="97"/>
      <c r="F40" s="96"/>
      <c r="G40" s="133">
        <f>IF(G$6=0,0,D40)</f>
        <v>0</v>
      </c>
      <c r="H40" s="133">
        <f>IF(H$6=0,0,D40)</f>
        <v>0</v>
      </c>
      <c r="I40" s="133">
        <f>IF(I$6=0,0,D40)</f>
        <v>0</v>
      </c>
      <c r="J40" s="133">
        <f>IF(J$6=0,0,D40)</f>
        <v>0</v>
      </c>
    </row>
    <row r="41" spans="1:81" ht="48" customHeight="1">
      <c r="A41" s="151" t="s">
        <v>229</v>
      </c>
      <c r="B41" s="97" t="s">
        <v>210</v>
      </c>
      <c r="C41" s="148">
        <v>9</v>
      </c>
      <c r="D41" s="133">
        <f>ROUND(F41/F6,2)</f>
        <v>445.03</v>
      </c>
      <c r="E41" s="97">
        <v>1</v>
      </c>
      <c r="F41" s="332">
        <f ca="1">'пр.1+2 '!G75+'пр.1+2 '!D82+'пр.1+2 '!D83</f>
        <v>269686</v>
      </c>
      <c r="G41" s="133">
        <f>IF(G$6=0,0,D41)</f>
        <v>445.03</v>
      </c>
      <c r="H41" s="133">
        <f>IF(H$6=0,0,D41)</f>
        <v>445.03</v>
      </c>
      <c r="I41" s="133">
        <f>IF(I$6=0,0,D41)</f>
        <v>445.03</v>
      </c>
      <c r="J41" s="133">
        <f>IF(J$6=0,0,D41)</f>
        <v>0</v>
      </c>
    </row>
    <row r="42" spans="1:81" ht="26.25" customHeight="1">
      <c r="A42" s="150" t="s">
        <v>228</v>
      </c>
      <c r="B42" s="97" t="s">
        <v>210</v>
      </c>
      <c r="C42" s="148">
        <v>12</v>
      </c>
      <c r="D42" s="133">
        <f>ROUND(F42/F6,2)</f>
        <v>4.4400000000000004</v>
      </c>
      <c r="E42" s="97">
        <v>1</v>
      </c>
      <c r="F42" s="96">
        <f ca="1">'пр.1+2 '!D78</f>
        <v>2693.54</v>
      </c>
      <c r="G42" s="133">
        <f>IF(G$6=0,0,D42)</f>
        <v>4.4400000000000004</v>
      </c>
      <c r="H42" s="133">
        <f>IF(H$6=0,0,D42)</f>
        <v>4.4400000000000004</v>
      </c>
      <c r="I42" s="133">
        <f>IF(I$6=0,0,D42)</f>
        <v>4.4400000000000004</v>
      </c>
      <c r="J42" s="133">
        <f>IF(J$6=0,0,D42)</f>
        <v>0</v>
      </c>
    </row>
    <row r="43" spans="1:81" s="116" customFormat="1" ht="20.25" customHeight="1" thickBot="1">
      <c r="A43" s="149" t="s">
        <v>127</v>
      </c>
      <c r="B43" s="147"/>
      <c r="C43" s="147"/>
      <c r="D43" s="127">
        <f>SUM(D39:D42)</f>
        <v>1923.06</v>
      </c>
      <c r="E43" s="147"/>
      <c r="F43" s="127">
        <f>SUM(F39:F42)</f>
        <v>1165374.54</v>
      </c>
      <c r="G43" s="127">
        <f>SUM(G39:G42)</f>
        <v>1923.06</v>
      </c>
      <c r="H43" s="127">
        <f>SUM(H39:H42)</f>
        <v>1923.06</v>
      </c>
      <c r="I43" s="127">
        <f>SUM(I39:I42)</f>
        <v>1923.06</v>
      </c>
      <c r="J43" s="127">
        <f>SUM(J39:J42)</f>
        <v>0</v>
      </c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</row>
    <row r="44" spans="1:81" ht="21.75" customHeight="1" thickBot="1">
      <c r="A44" s="470" t="s">
        <v>227</v>
      </c>
      <c r="B44" s="471"/>
      <c r="C44" s="471"/>
      <c r="D44" s="471"/>
      <c r="E44" s="471"/>
      <c r="F44" s="471"/>
      <c r="G44" s="471"/>
      <c r="H44" s="471"/>
      <c r="I44" s="471"/>
      <c r="J44" s="471"/>
    </row>
    <row r="45" spans="1:81">
      <c r="A45" s="25" t="s">
        <v>226</v>
      </c>
      <c r="B45" s="102" t="s">
        <v>210</v>
      </c>
      <c r="C45" s="102">
        <v>12</v>
      </c>
      <c r="D45" s="102">
        <f>ROUND(F45/F6,2)</f>
        <v>166.94</v>
      </c>
      <c r="E45" s="102"/>
      <c r="F45" s="359">
        <f ca="1">пр.3!F6+пр.3!F7+пр.3!F8</f>
        <v>101163.6</v>
      </c>
      <c r="G45" s="102">
        <f t="shared" ref="G45:G62" si="4">IF(G$6=0,0,D45)</f>
        <v>166.94</v>
      </c>
      <c r="H45" s="102">
        <f t="shared" ref="H45:H62" si="5">IF(H$6=0,0,D45)</f>
        <v>166.94</v>
      </c>
      <c r="I45" s="102">
        <f t="shared" ref="I45:I62" si="6">IF(I$6=0,0,D45)</f>
        <v>166.94</v>
      </c>
      <c r="J45" s="102">
        <f t="shared" ref="J45:J62" si="7">IF(J$6=0,0,D45)</f>
        <v>0</v>
      </c>
    </row>
    <row r="46" spans="1:81" ht="14.25" customHeight="1">
      <c r="A46" s="22" t="s">
        <v>225</v>
      </c>
      <c r="B46" s="97" t="s">
        <v>210</v>
      </c>
      <c r="C46" s="97">
        <v>12</v>
      </c>
      <c r="D46" s="133">
        <f>ROUND(F46/F6,2)</f>
        <v>5.09</v>
      </c>
      <c r="E46" s="97"/>
      <c r="F46" s="332">
        <f ca="1">пр.3!F9</f>
        <v>3082.2</v>
      </c>
      <c r="G46" s="133">
        <f t="shared" si="4"/>
        <v>5.09</v>
      </c>
      <c r="H46" s="133">
        <f t="shared" si="5"/>
        <v>5.09</v>
      </c>
      <c r="I46" s="133">
        <f t="shared" si="6"/>
        <v>5.09</v>
      </c>
      <c r="J46" s="133">
        <f t="shared" si="7"/>
        <v>0</v>
      </c>
    </row>
    <row r="47" spans="1:81">
      <c r="A47" s="22" t="s">
        <v>224</v>
      </c>
      <c r="B47" s="97" t="s">
        <v>210</v>
      </c>
      <c r="C47" s="97">
        <v>12</v>
      </c>
      <c r="D47" s="133">
        <f>ROUND(F47/F6,2)</f>
        <v>26.14</v>
      </c>
      <c r="E47" s="97"/>
      <c r="F47" s="332">
        <f ca="1">пр.3!F10</f>
        <v>15840</v>
      </c>
      <c r="G47" s="133">
        <f t="shared" si="4"/>
        <v>26.14</v>
      </c>
      <c r="H47" s="133">
        <f t="shared" si="5"/>
        <v>26.14</v>
      </c>
      <c r="I47" s="133">
        <f t="shared" si="6"/>
        <v>26.14</v>
      </c>
      <c r="J47" s="133">
        <f t="shared" si="7"/>
        <v>0</v>
      </c>
    </row>
    <row r="48" spans="1:81" ht="25.5" hidden="1">
      <c r="A48" s="22" t="s">
        <v>304</v>
      </c>
      <c r="B48" s="97" t="s">
        <v>210</v>
      </c>
      <c r="C48" s="97"/>
      <c r="D48" s="133">
        <f>ROUND(F48/F6,2)</f>
        <v>131.34</v>
      </c>
      <c r="E48" s="97"/>
      <c r="F48" s="332">
        <f ca="1">пр.3!F11</f>
        <v>79593.67</v>
      </c>
      <c r="G48" s="133">
        <f t="shared" si="4"/>
        <v>131.34</v>
      </c>
      <c r="H48" s="133">
        <f t="shared" si="5"/>
        <v>131.34</v>
      </c>
      <c r="I48" s="133">
        <f t="shared" si="6"/>
        <v>131.34</v>
      </c>
      <c r="J48" s="133">
        <f t="shared" si="7"/>
        <v>0</v>
      </c>
    </row>
    <row r="49" spans="1:81">
      <c r="A49" s="22" t="str">
        <f ca="1">пр.3!A12</f>
        <v xml:space="preserve">Тех.обслуживание средств АПС </v>
      </c>
      <c r="B49" s="97" t="s">
        <v>210</v>
      </c>
      <c r="C49" s="97">
        <v>12</v>
      </c>
      <c r="D49" s="133">
        <f>ROUND(F49/F6,2)</f>
        <v>53.15</v>
      </c>
      <c r="E49" s="97"/>
      <c r="F49" s="332">
        <f ca="1">пр.3!F12</f>
        <v>32208</v>
      </c>
      <c r="G49" s="133">
        <f t="shared" si="4"/>
        <v>53.15</v>
      </c>
      <c r="H49" s="133">
        <f t="shared" si="5"/>
        <v>53.15</v>
      </c>
      <c r="I49" s="133">
        <f t="shared" si="6"/>
        <v>53.15</v>
      </c>
      <c r="J49" s="133">
        <f t="shared" si="7"/>
        <v>0</v>
      </c>
    </row>
    <row r="50" spans="1:81">
      <c r="A50" s="22" t="s">
        <v>223</v>
      </c>
      <c r="B50" s="97" t="s">
        <v>210</v>
      </c>
      <c r="C50" s="97">
        <v>12</v>
      </c>
      <c r="D50" s="133">
        <f>ROUND(F50/F6,2)</f>
        <v>21.1</v>
      </c>
      <c r="E50" s="97"/>
      <c r="F50" s="332">
        <f ca="1">пр.3!F16</f>
        <v>12789.6</v>
      </c>
      <c r="G50" s="133">
        <f t="shared" si="4"/>
        <v>21.1</v>
      </c>
      <c r="H50" s="133">
        <f t="shared" si="5"/>
        <v>21.1</v>
      </c>
      <c r="I50" s="133">
        <f t="shared" si="6"/>
        <v>21.1</v>
      </c>
      <c r="J50" s="133">
        <f t="shared" si="7"/>
        <v>0</v>
      </c>
    </row>
    <row r="51" spans="1:81">
      <c r="A51" s="22" t="s">
        <v>305</v>
      </c>
      <c r="B51" s="97" t="s">
        <v>210</v>
      </c>
      <c r="C51" s="97">
        <v>12</v>
      </c>
      <c r="D51" s="133">
        <f>ROUND(F51/F6,2)</f>
        <v>0</v>
      </c>
      <c r="E51" s="97"/>
      <c r="F51" s="332">
        <f ca="1">пр.3!F21</f>
        <v>0</v>
      </c>
      <c r="G51" s="133">
        <f t="shared" si="4"/>
        <v>0</v>
      </c>
      <c r="H51" s="133">
        <f t="shared" si="5"/>
        <v>0</v>
      </c>
      <c r="I51" s="133">
        <f t="shared" si="6"/>
        <v>0</v>
      </c>
      <c r="J51" s="133">
        <f t="shared" si="7"/>
        <v>0</v>
      </c>
    </row>
    <row r="52" spans="1:81" ht="23.25" customHeight="1">
      <c r="A52" s="22" t="s">
        <v>306</v>
      </c>
      <c r="B52" s="97" t="s">
        <v>210</v>
      </c>
      <c r="C52" s="97">
        <v>12</v>
      </c>
      <c r="D52" s="133">
        <f>ROUND(F52/F6,2)</f>
        <v>29.7</v>
      </c>
      <c r="E52" s="97"/>
      <c r="F52" s="332">
        <f ca="1">пр.3!F13</f>
        <v>18000</v>
      </c>
      <c r="G52" s="133">
        <f t="shared" si="4"/>
        <v>29.7</v>
      </c>
      <c r="H52" s="133">
        <f t="shared" si="5"/>
        <v>29.7</v>
      </c>
      <c r="I52" s="133">
        <f t="shared" si="6"/>
        <v>29.7</v>
      </c>
      <c r="J52" s="133">
        <f t="shared" si="7"/>
        <v>0</v>
      </c>
    </row>
    <row r="53" spans="1:81">
      <c r="A53" s="22" t="str">
        <f ca="1">пр.3!A15</f>
        <v>поверка ремонт теплосчетчиков</v>
      </c>
      <c r="B53" s="97" t="s">
        <v>210</v>
      </c>
      <c r="C53" s="97">
        <v>12</v>
      </c>
      <c r="D53" s="133">
        <f>ROUND(F53/F6,2)</f>
        <v>31.52</v>
      </c>
      <c r="E53" s="97"/>
      <c r="F53" s="332">
        <f ca="1">пр.3!F15</f>
        <v>19100</v>
      </c>
      <c r="G53" s="133">
        <f t="shared" si="4"/>
        <v>31.52</v>
      </c>
      <c r="H53" s="133">
        <f t="shared" si="5"/>
        <v>31.52</v>
      </c>
      <c r="I53" s="133">
        <f t="shared" si="6"/>
        <v>31.52</v>
      </c>
      <c r="J53" s="133">
        <f t="shared" si="7"/>
        <v>0</v>
      </c>
    </row>
    <row r="54" spans="1:81" ht="25.5">
      <c r="A54" s="22" t="s">
        <v>165</v>
      </c>
      <c r="B54" s="97" t="s">
        <v>210</v>
      </c>
      <c r="C54" s="97"/>
      <c r="D54" s="133">
        <f>ROUND(F54/F6,2)</f>
        <v>21.78</v>
      </c>
      <c r="E54" s="97"/>
      <c r="F54" s="332">
        <f ca="1">пр.3!F22</f>
        <v>13200</v>
      </c>
      <c r="G54" s="133">
        <f t="shared" si="4"/>
        <v>21.78</v>
      </c>
      <c r="H54" s="133">
        <f t="shared" si="5"/>
        <v>21.78</v>
      </c>
      <c r="I54" s="133">
        <f t="shared" si="6"/>
        <v>21.78</v>
      </c>
      <c r="J54" s="133">
        <f t="shared" si="7"/>
        <v>0</v>
      </c>
    </row>
    <row r="55" spans="1:81">
      <c r="A55" s="22" t="s">
        <v>222</v>
      </c>
      <c r="B55" s="97" t="s">
        <v>210</v>
      </c>
      <c r="C55" s="97"/>
      <c r="D55" s="133">
        <f>ROUND(F55/F6,2)</f>
        <v>31.79</v>
      </c>
      <c r="E55" s="97"/>
      <c r="F55" s="332">
        <f ca="1">пр.3!F26</f>
        <v>19263.12</v>
      </c>
      <c r="G55" s="133">
        <f t="shared" si="4"/>
        <v>31.79</v>
      </c>
      <c r="H55" s="133">
        <f t="shared" si="5"/>
        <v>31.79</v>
      </c>
      <c r="I55" s="133">
        <f t="shared" si="6"/>
        <v>31.79</v>
      </c>
      <c r="J55" s="133">
        <f t="shared" si="7"/>
        <v>0</v>
      </c>
    </row>
    <row r="56" spans="1:81">
      <c r="A56" s="22" t="s">
        <v>167</v>
      </c>
      <c r="B56" s="97" t="s">
        <v>210</v>
      </c>
      <c r="C56" s="97"/>
      <c r="D56" s="133">
        <f>ROUND(F56/F6,2)</f>
        <v>0</v>
      </c>
      <c r="E56" s="97"/>
      <c r="F56" s="332">
        <f ca="1">пр.3!F17</f>
        <v>0</v>
      </c>
      <c r="G56" s="133">
        <f t="shared" si="4"/>
        <v>0</v>
      </c>
      <c r="H56" s="133">
        <f t="shared" si="5"/>
        <v>0</v>
      </c>
      <c r="I56" s="133">
        <f t="shared" si="6"/>
        <v>0</v>
      </c>
      <c r="J56" s="133">
        <f t="shared" si="7"/>
        <v>0</v>
      </c>
    </row>
    <row r="57" spans="1:81">
      <c r="A57" s="22" t="s">
        <v>298</v>
      </c>
      <c r="B57" s="97" t="s">
        <v>210</v>
      </c>
      <c r="C57" s="97"/>
      <c r="D57" s="133">
        <f>ROUND(F57/F6,2)</f>
        <v>6.6</v>
      </c>
      <c r="E57" s="97"/>
      <c r="F57" s="332">
        <f ca="1">пр.3!F18</f>
        <v>4000</v>
      </c>
      <c r="G57" s="133">
        <f t="shared" si="4"/>
        <v>6.6</v>
      </c>
      <c r="H57" s="133">
        <f t="shared" si="5"/>
        <v>6.6</v>
      </c>
      <c r="I57" s="133">
        <f t="shared" si="6"/>
        <v>6.6</v>
      </c>
      <c r="J57" s="133">
        <f t="shared" si="7"/>
        <v>0</v>
      </c>
    </row>
    <row r="58" spans="1:81" ht="25.5" hidden="1">
      <c r="A58" s="22" t="s">
        <v>307</v>
      </c>
      <c r="B58" s="97" t="s">
        <v>210</v>
      </c>
      <c r="C58" s="97"/>
      <c r="D58" s="133">
        <f>ROUND(F58/F6,2)</f>
        <v>0</v>
      </c>
      <c r="E58" s="97"/>
      <c r="F58" s="332">
        <f ca="1">пр.3!F25</f>
        <v>0</v>
      </c>
      <c r="G58" s="133">
        <f t="shared" si="4"/>
        <v>0</v>
      </c>
      <c r="H58" s="133">
        <f t="shared" si="5"/>
        <v>0</v>
      </c>
      <c r="I58" s="133">
        <f t="shared" si="6"/>
        <v>0</v>
      </c>
      <c r="J58" s="133">
        <f t="shared" si="7"/>
        <v>0</v>
      </c>
    </row>
    <row r="59" spans="1:81">
      <c r="A59" s="22" t="str">
        <f ca="1">пр.3!A14</f>
        <v>противопож.меропр</v>
      </c>
      <c r="B59" s="97" t="s">
        <v>210</v>
      </c>
      <c r="C59" s="97"/>
      <c r="D59" s="133">
        <f>ROUND(F59/F6,2)</f>
        <v>126.74</v>
      </c>
      <c r="E59" s="97"/>
      <c r="F59" s="332">
        <f ca="1">пр.3!F14</f>
        <v>76804.08</v>
      </c>
      <c r="G59" s="133">
        <f t="shared" si="4"/>
        <v>126.74</v>
      </c>
      <c r="H59" s="133">
        <f t="shared" si="5"/>
        <v>126.74</v>
      </c>
      <c r="I59" s="133">
        <f t="shared" si="6"/>
        <v>126.74</v>
      </c>
      <c r="J59" s="133">
        <f t="shared" si="7"/>
        <v>0</v>
      </c>
    </row>
    <row r="60" spans="1:81" hidden="1">
      <c r="A60" s="22" t="s">
        <v>308</v>
      </c>
      <c r="B60" s="97" t="s">
        <v>210</v>
      </c>
      <c r="C60" s="143"/>
      <c r="D60" s="133">
        <f>ROUND(F60/F6,2)</f>
        <v>0</v>
      </c>
      <c r="E60" s="97"/>
      <c r="F60" s="332">
        <f ca="1">пр.3!F20</f>
        <v>0</v>
      </c>
      <c r="G60" s="133">
        <f t="shared" si="4"/>
        <v>0</v>
      </c>
      <c r="H60" s="133">
        <f t="shared" si="5"/>
        <v>0</v>
      </c>
      <c r="I60" s="133">
        <f t="shared" si="6"/>
        <v>0</v>
      </c>
      <c r="J60" s="133">
        <f t="shared" si="7"/>
        <v>0</v>
      </c>
    </row>
    <row r="61" spans="1:81" hidden="1">
      <c r="A61" s="236" t="str">
        <f ca="1">пр.3!A24</f>
        <v>тех.обсл.бассейна</v>
      </c>
      <c r="B61" s="97" t="s">
        <v>210</v>
      </c>
      <c r="C61" s="140"/>
      <c r="D61" s="133">
        <f>ROUND(F61/F6,2)</f>
        <v>0</v>
      </c>
      <c r="E61" s="148"/>
      <c r="F61" s="360">
        <f ca="1">пр.3!F24</f>
        <v>0</v>
      </c>
      <c r="G61" s="133">
        <f t="shared" si="4"/>
        <v>0</v>
      </c>
      <c r="H61" s="133">
        <f t="shared" si="5"/>
        <v>0</v>
      </c>
      <c r="I61" s="133">
        <f t="shared" si="6"/>
        <v>0</v>
      </c>
      <c r="J61" s="133">
        <f t="shared" si="7"/>
        <v>0</v>
      </c>
    </row>
    <row r="62" spans="1:81" hidden="1">
      <c r="A62" s="22" t="s">
        <v>299</v>
      </c>
      <c r="B62" s="97" t="s">
        <v>210</v>
      </c>
      <c r="C62" s="140"/>
      <c r="D62" s="133">
        <f>ROUND(F62/F6,2)</f>
        <v>0</v>
      </c>
      <c r="E62" s="148"/>
      <c r="F62" s="360">
        <f ca="1">пр.3!F19</f>
        <v>0</v>
      </c>
      <c r="G62" s="133">
        <f t="shared" si="4"/>
        <v>0</v>
      </c>
      <c r="H62" s="133">
        <f t="shared" si="5"/>
        <v>0</v>
      </c>
      <c r="I62" s="133">
        <f t="shared" si="6"/>
        <v>0</v>
      </c>
      <c r="J62" s="133">
        <f t="shared" si="7"/>
        <v>0</v>
      </c>
      <c r="M62" s="68"/>
      <c r="N62" s="68"/>
      <c r="O62" s="68"/>
      <c r="P62" s="68"/>
    </row>
    <row r="63" spans="1:81" s="116" customFormat="1" ht="13.5" thickBot="1">
      <c r="A63" s="129" t="s">
        <v>127</v>
      </c>
      <c r="B63" s="128"/>
      <c r="C63" s="128"/>
      <c r="D63" s="127">
        <f>SUM(D45:D62)</f>
        <v>651.89</v>
      </c>
      <c r="E63" s="147"/>
      <c r="F63" s="127">
        <f ca="1">SUM(F45:F62)</f>
        <v>395044.27</v>
      </c>
      <c r="G63" s="127">
        <f>SUM(G45:G62)</f>
        <v>651.89</v>
      </c>
      <c r="H63" s="127">
        <f>SUM(H45:H62)</f>
        <v>651.89</v>
      </c>
      <c r="I63" s="127">
        <f>SUM(I45:I62)</f>
        <v>651.89</v>
      </c>
      <c r="J63" s="127">
        <f>SUM(J45:J62)</f>
        <v>0</v>
      </c>
      <c r="K63" s="69"/>
      <c r="L63" s="69"/>
      <c r="M63" s="68"/>
      <c r="N63" s="68"/>
      <c r="O63" s="68"/>
      <c r="P63" s="68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</row>
    <row r="64" spans="1:81" ht="18" customHeight="1" thickBot="1">
      <c r="A64" s="462" t="s">
        <v>221</v>
      </c>
      <c r="B64" s="463"/>
      <c r="C64" s="463"/>
      <c r="D64" s="463"/>
      <c r="E64" s="463"/>
      <c r="F64" s="463"/>
      <c r="G64" s="463"/>
      <c r="H64" s="463"/>
      <c r="I64" s="463"/>
      <c r="J64" s="463"/>
      <c r="M64" s="68"/>
      <c r="N64" s="68"/>
      <c r="O64" s="68"/>
      <c r="P64" s="68"/>
    </row>
    <row r="65" spans="1:81">
      <c r="A65" s="105" t="s">
        <v>311</v>
      </c>
      <c r="B65" s="102" t="s">
        <v>210</v>
      </c>
      <c r="C65" s="102">
        <v>12</v>
      </c>
      <c r="D65" s="102">
        <f>ROUND(F65/F6,2)</f>
        <v>24.94</v>
      </c>
      <c r="E65" s="102"/>
      <c r="F65" s="103">
        <f ca="1">пр.3!F33+пр.3!F34+пр.3!F35+пр.3!F36+пр.3!F37+пр.3!F38</f>
        <v>15111</v>
      </c>
      <c r="G65" s="102">
        <f>IF(G$6=0,0,D65)</f>
        <v>24.94</v>
      </c>
      <c r="H65" s="102">
        <f>IF(H$6=0,0,D65)</f>
        <v>24.94</v>
      </c>
      <c r="I65" s="102">
        <f>IF(I$6=0,0,D65)</f>
        <v>24.94</v>
      </c>
      <c r="J65" s="144">
        <f>IF(J$6=0,0,D65)</f>
        <v>0</v>
      </c>
      <c r="M65" s="68"/>
      <c r="N65" s="68"/>
      <c r="O65" s="68"/>
      <c r="P65" s="68"/>
    </row>
    <row r="66" spans="1:81" hidden="1">
      <c r="A66" s="100" t="s">
        <v>220</v>
      </c>
      <c r="B66" s="97" t="s">
        <v>210</v>
      </c>
      <c r="C66" s="97">
        <v>12</v>
      </c>
      <c r="D66" s="97">
        <f>ROUND(F66/F6,2)</f>
        <v>0</v>
      </c>
      <c r="E66" s="97"/>
      <c r="F66" s="97">
        <f ca="1">пр.3!F40</f>
        <v>0</v>
      </c>
      <c r="G66" s="180">
        <f>IF(G$6=0,0,D66)</f>
        <v>0</v>
      </c>
      <c r="H66" s="180">
        <f>IF(H$6=0,0,D66)</f>
        <v>0</v>
      </c>
      <c r="I66" s="180">
        <f>IF(I$6=0,0,D66)</f>
        <v>0</v>
      </c>
      <c r="J66" s="184">
        <f>IF(J$6=0,0,D66)</f>
        <v>0</v>
      </c>
    </row>
    <row r="67" spans="1:81" s="116" customFormat="1" ht="13.5" thickBot="1">
      <c r="A67" s="129" t="s">
        <v>127</v>
      </c>
      <c r="B67" s="128"/>
      <c r="C67" s="128"/>
      <c r="D67" s="147">
        <f>SUM(D65+D66)</f>
        <v>24.94</v>
      </c>
      <c r="E67" s="128"/>
      <c r="F67" s="147">
        <f ca="1">SUM(F65+F66)</f>
        <v>15111</v>
      </c>
      <c r="G67" s="147">
        <f>SUM(G65+G66)</f>
        <v>24.94</v>
      </c>
      <c r="H67" s="147">
        <f>SUM(H65+H66)</f>
        <v>24.94</v>
      </c>
      <c r="I67" s="147">
        <f>SUM(I65+I66)</f>
        <v>24.94</v>
      </c>
      <c r="J67" s="146">
        <f>SUM(J65+J66)</f>
        <v>0</v>
      </c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</row>
    <row r="68" spans="1:81" ht="16.5" thickBot="1">
      <c r="A68" s="457" t="s">
        <v>219</v>
      </c>
      <c r="B68" s="457"/>
      <c r="C68" s="457"/>
      <c r="D68" s="457"/>
      <c r="E68" s="457"/>
      <c r="F68" s="457"/>
      <c r="G68" s="178"/>
      <c r="H68" s="178"/>
      <c r="I68" s="178"/>
      <c r="J68" s="178"/>
    </row>
    <row r="69" spans="1:81">
      <c r="A69" s="25" t="s">
        <v>309</v>
      </c>
      <c r="B69" s="102" t="s">
        <v>210</v>
      </c>
      <c r="C69" s="145"/>
      <c r="D69" s="102">
        <f>ROUND(F69/F6,2)</f>
        <v>135.25</v>
      </c>
      <c r="E69" s="145"/>
      <c r="F69" s="144">
        <f ca="1">пр.3!F52</f>
        <v>81960</v>
      </c>
      <c r="G69" s="102">
        <f t="shared" ref="G69:G77" si="8">IF(G$6=0,0,D69)</f>
        <v>135.25</v>
      </c>
      <c r="H69" s="102">
        <f t="shared" ref="H69:H77" si="9">IF(H$6=0,0,D69)</f>
        <v>135.25</v>
      </c>
      <c r="I69" s="102">
        <f t="shared" ref="I69:I77" si="10">IF(I$6=0,0,D69)</f>
        <v>135.25</v>
      </c>
      <c r="J69" s="102">
        <f t="shared" ref="J69:J77" si="11">IF(J$6=0,0,D69)</f>
        <v>0</v>
      </c>
    </row>
    <row r="70" spans="1:81" hidden="1">
      <c r="A70" s="100" t="s">
        <v>218</v>
      </c>
      <c r="B70" s="97" t="s">
        <v>210</v>
      </c>
      <c r="C70" s="143"/>
      <c r="D70" s="133">
        <f>ROUND(F70/F6,2)</f>
        <v>7.43</v>
      </c>
      <c r="E70" s="143"/>
      <c r="F70" s="142">
        <f ca="1">пр.3!F54</f>
        <v>4500</v>
      </c>
      <c r="G70" s="133">
        <f t="shared" si="8"/>
        <v>7.43</v>
      </c>
      <c r="H70" s="133">
        <f t="shared" si="9"/>
        <v>7.43</v>
      </c>
      <c r="I70" s="133">
        <f t="shared" si="10"/>
        <v>7.43</v>
      </c>
      <c r="J70" s="133">
        <f t="shared" si="11"/>
        <v>0</v>
      </c>
    </row>
    <row r="71" spans="1:81" hidden="1">
      <c r="A71" s="141" t="s">
        <v>158</v>
      </c>
      <c r="B71" s="97" t="s">
        <v>210</v>
      </c>
      <c r="C71" s="143"/>
      <c r="D71" s="133">
        <f>ROUND(F71/F6,2)</f>
        <v>0</v>
      </c>
      <c r="E71" s="143"/>
      <c r="F71" s="346">
        <f ca="1">пр.3!F53</f>
        <v>0</v>
      </c>
      <c r="G71" s="133">
        <f t="shared" si="8"/>
        <v>0</v>
      </c>
      <c r="H71" s="133">
        <f t="shared" si="9"/>
        <v>0</v>
      </c>
      <c r="I71" s="133">
        <f t="shared" si="10"/>
        <v>0</v>
      </c>
      <c r="J71" s="133">
        <f t="shared" si="11"/>
        <v>0</v>
      </c>
    </row>
    <row r="72" spans="1:81">
      <c r="A72" s="141" t="s">
        <v>156</v>
      </c>
      <c r="B72" s="97" t="s">
        <v>210</v>
      </c>
      <c r="C72" s="143"/>
      <c r="D72" s="133">
        <f>ROUND(F72/F6,2)</f>
        <v>0</v>
      </c>
      <c r="E72" s="143"/>
      <c r="F72" s="361">
        <f ca="1">пр.3!F57</f>
        <v>0</v>
      </c>
      <c r="G72" s="133">
        <f t="shared" si="8"/>
        <v>0</v>
      </c>
      <c r="H72" s="133">
        <f t="shared" si="9"/>
        <v>0</v>
      </c>
      <c r="I72" s="133">
        <f t="shared" si="10"/>
        <v>0</v>
      </c>
      <c r="J72" s="133">
        <f t="shared" si="11"/>
        <v>0</v>
      </c>
    </row>
    <row r="73" spans="1:81" ht="25.5" hidden="1">
      <c r="A73" s="141" t="str">
        <f ca="1">пр.3!A55</f>
        <v>Договор подряда (мед.сестра бассейна)</v>
      </c>
      <c r="B73" s="97" t="s">
        <v>210</v>
      </c>
      <c r="C73" s="140"/>
      <c r="D73" s="133">
        <f>ROUND(F73/F6,2)</f>
        <v>0</v>
      </c>
      <c r="E73" s="140"/>
      <c r="F73" s="361">
        <f ca="1">пр.3!F55</f>
        <v>0</v>
      </c>
      <c r="G73" s="133">
        <f t="shared" si="8"/>
        <v>0</v>
      </c>
      <c r="H73" s="133">
        <f t="shared" si="9"/>
        <v>0</v>
      </c>
      <c r="I73" s="133">
        <f>IF(I$6=0,0,D73)</f>
        <v>0</v>
      </c>
      <c r="J73" s="133">
        <f t="shared" si="11"/>
        <v>0</v>
      </c>
    </row>
    <row r="74" spans="1:81">
      <c r="A74" s="141" t="str">
        <f ca="1">пр.3!A56</f>
        <v xml:space="preserve">Энцефолограмма головного мозга </v>
      </c>
      <c r="B74" s="97"/>
      <c r="C74" s="140"/>
      <c r="D74" s="133">
        <f>ROUND(F74/F6,2)</f>
        <v>0</v>
      </c>
      <c r="E74" s="140"/>
      <c r="F74" s="361">
        <f ca="1">пр.3!F56</f>
        <v>0</v>
      </c>
      <c r="G74" s="133">
        <f>IF(G$6=0,0,D74)</f>
        <v>0</v>
      </c>
      <c r="H74" s="133">
        <f>IF(H$6=0,0,D74)</f>
        <v>0</v>
      </c>
      <c r="I74" s="133">
        <f>IF(I$6=0,0,D74)</f>
        <v>0</v>
      </c>
      <c r="J74" s="133">
        <f>IF(J$6=0,0,D74)</f>
        <v>0</v>
      </c>
    </row>
    <row r="75" spans="1:81" ht="15" customHeight="1">
      <c r="A75" s="141" t="s">
        <v>310</v>
      </c>
      <c r="B75" s="97" t="s">
        <v>210</v>
      </c>
      <c r="C75" s="140"/>
      <c r="D75" s="133">
        <f>ROUND(F75/F6,2)</f>
        <v>17.59</v>
      </c>
      <c r="E75" s="140"/>
      <c r="F75" s="362">
        <f ca="1">пр.3!F58</f>
        <v>10659</v>
      </c>
      <c r="G75" s="133">
        <f t="shared" si="8"/>
        <v>17.59</v>
      </c>
      <c r="H75" s="133">
        <f t="shared" si="9"/>
        <v>17.59</v>
      </c>
      <c r="I75" s="133">
        <f t="shared" si="10"/>
        <v>17.59</v>
      </c>
      <c r="J75" s="133">
        <f t="shared" si="11"/>
        <v>0</v>
      </c>
    </row>
    <row r="76" spans="1:81" hidden="1">
      <c r="A76" s="22" t="str">
        <f ca="1">пр.3!A59</f>
        <v>Электронная отчетность</v>
      </c>
      <c r="B76" s="97" t="s">
        <v>210</v>
      </c>
      <c r="C76" s="140"/>
      <c r="D76" s="133">
        <f>ROUND(F76/F6,2)</f>
        <v>0</v>
      </c>
      <c r="E76" s="140"/>
      <c r="F76" s="139">
        <f ca="1">пр.3!F59</f>
        <v>0</v>
      </c>
      <c r="G76" s="133">
        <f t="shared" si="8"/>
        <v>0</v>
      </c>
      <c r="H76" s="133">
        <f t="shared" si="9"/>
        <v>0</v>
      </c>
      <c r="I76" s="133">
        <f t="shared" si="10"/>
        <v>0</v>
      </c>
      <c r="J76" s="133">
        <f t="shared" si="11"/>
        <v>0</v>
      </c>
    </row>
    <row r="77" spans="1:81">
      <c r="A77" s="141" t="s">
        <v>157</v>
      </c>
      <c r="B77" s="97" t="s">
        <v>210</v>
      </c>
      <c r="C77" s="140"/>
      <c r="D77" s="133">
        <f>ROUND(F77/F6,2)</f>
        <v>8.83</v>
      </c>
      <c r="E77" s="140"/>
      <c r="F77" s="139">
        <f ca="1">пр.3!F60</f>
        <v>5353.86</v>
      </c>
      <c r="G77" s="133">
        <f t="shared" si="8"/>
        <v>8.83</v>
      </c>
      <c r="H77" s="133">
        <f t="shared" si="9"/>
        <v>8.83</v>
      </c>
      <c r="I77" s="133">
        <f t="shared" si="10"/>
        <v>8.83</v>
      </c>
      <c r="J77" s="133">
        <f t="shared" si="11"/>
        <v>0</v>
      </c>
    </row>
    <row r="78" spans="1:81" s="135" customFormat="1" ht="13.5" thickBot="1">
      <c r="A78" s="138" t="s">
        <v>209</v>
      </c>
      <c r="B78" s="137"/>
      <c r="C78" s="137"/>
      <c r="D78" s="136">
        <f>SUM(D69:D77)</f>
        <v>169.10000000000002</v>
      </c>
      <c r="E78" s="137"/>
      <c r="F78" s="136">
        <f>F69+F70+F77+F71+F72+F75+F76+F73+F74</f>
        <v>102472.86</v>
      </c>
      <c r="G78" s="136">
        <f>G69+G70+G77+G71+G72+G75+G76+G73+G74</f>
        <v>169.10000000000002</v>
      </c>
      <c r="H78" s="136">
        <f>H69+H70+H77+H71+H72+H75+H76+H73+H74</f>
        <v>169.10000000000002</v>
      </c>
      <c r="I78" s="136">
        <f>I69+I70+I77+I71+I72+I75+I76+I73+I74</f>
        <v>169.10000000000002</v>
      </c>
      <c r="J78" s="136">
        <f>J69+J70+J77+J71+J72+J75+J76+J73+J74</f>
        <v>0</v>
      </c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69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69"/>
      <c r="CA78" s="69"/>
      <c r="CB78" s="69"/>
      <c r="CC78" s="69"/>
    </row>
    <row r="79" spans="1:81" s="111" customFormat="1" ht="18.75" customHeight="1">
      <c r="A79" s="455" t="s">
        <v>217</v>
      </c>
      <c r="B79" s="448"/>
      <c r="C79" s="448"/>
      <c r="D79" s="448"/>
      <c r="E79" s="448"/>
      <c r="F79" s="448"/>
      <c r="G79" s="448"/>
      <c r="H79" s="448"/>
      <c r="I79" s="448"/>
      <c r="J79" s="448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69"/>
      <c r="CA79" s="69"/>
      <c r="CB79" s="69"/>
      <c r="CC79" s="69"/>
    </row>
    <row r="80" spans="1:81" s="111" customFormat="1" ht="23.25" customHeight="1" thickBot="1">
      <c r="A80" s="465" t="s">
        <v>216</v>
      </c>
      <c r="B80" s="465"/>
      <c r="C80" s="465"/>
      <c r="D80" s="465"/>
      <c r="E80" s="465"/>
      <c r="F80" s="465"/>
      <c r="G80" s="465"/>
      <c r="H80" s="465"/>
      <c r="I80" s="465"/>
      <c r="J80" s="465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69"/>
    </row>
    <row r="81" spans="1:81" s="111" customFormat="1">
      <c r="A81" s="126" t="s">
        <v>187</v>
      </c>
      <c r="B81" s="102" t="s">
        <v>210</v>
      </c>
      <c r="C81" s="134">
        <v>12</v>
      </c>
      <c r="D81" s="102">
        <f>ROUND(F81/F6,2)</f>
        <v>0</v>
      </c>
      <c r="E81" s="125"/>
      <c r="F81" s="101">
        <f ca="1">пр.4!F6</f>
        <v>0</v>
      </c>
      <c r="G81" s="102">
        <f>IF(G$6=0,0,D81)</f>
        <v>0</v>
      </c>
      <c r="H81" s="102">
        <f>IF(H$6=0,0,D81)</f>
        <v>0</v>
      </c>
      <c r="I81" s="102">
        <f>IF(I$6=0,0,D81)</f>
        <v>0</v>
      </c>
      <c r="J81" s="102">
        <f>IF(J$6=0,0,D81)</f>
        <v>0</v>
      </c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69"/>
      <c r="CA81" s="69"/>
      <c r="CB81" s="69"/>
      <c r="CC81" s="69"/>
    </row>
    <row r="82" spans="1:81" s="111" customFormat="1">
      <c r="A82" s="77" t="s">
        <v>186</v>
      </c>
      <c r="B82" s="97" t="s">
        <v>210</v>
      </c>
      <c r="C82" s="132">
        <v>12</v>
      </c>
      <c r="D82" s="133">
        <f>ROUND(F82/F6,2)</f>
        <v>0</v>
      </c>
      <c r="E82" s="131"/>
      <c r="F82" s="96">
        <f ca="1">пр.4!F7</f>
        <v>0</v>
      </c>
      <c r="G82" s="133">
        <f>IF(G$6=0,0,D82)</f>
        <v>0</v>
      </c>
      <c r="H82" s="133">
        <f>IF(H$6=0,0,D82)</f>
        <v>0</v>
      </c>
      <c r="I82" s="133">
        <f>IF(I$6=0,0,D82)</f>
        <v>0</v>
      </c>
      <c r="J82" s="133">
        <f>IF(J$6=0,0,D82)</f>
        <v>0</v>
      </c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</row>
    <row r="83" spans="1:81" s="116" customFormat="1" ht="13.5" thickBot="1">
      <c r="A83" s="129" t="s">
        <v>209</v>
      </c>
      <c r="B83" s="128"/>
      <c r="C83" s="128"/>
      <c r="D83" s="127">
        <f>D81+D82</f>
        <v>0</v>
      </c>
      <c r="E83" s="128"/>
      <c r="F83" s="127">
        <f ca="1">F81+F82</f>
        <v>0</v>
      </c>
      <c r="G83" s="127">
        <f>G81+G82</f>
        <v>0</v>
      </c>
      <c r="H83" s="127">
        <f>H81+H82</f>
        <v>0</v>
      </c>
      <c r="I83" s="127">
        <f>I81+I82</f>
        <v>0</v>
      </c>
      <c r="J83" s="127">
        <f>J81+J82</f>
        <v>0</v>
      </c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69"/>
      <c r="BM83" s="69"/>
      <c r="BN83" s="69"/>
      <c r="BO83" s="69"/>
      <c r="BP83" s="69"/>
      <c r="BQ83" s="69"/>
      <c r="BR83" s="69"/>
      <c r="BS83" s="69"/>
      <c r="BT83" s="69"/>
      <c r="BU83" s="69"/>
      <c r="BV83" s="69"/>
      <c r="BW83" s="69"/>
      <c r="BX83" s="69"/>
      <c r="BY83" s="69"/>
      <c r="BZ83" s="69"/>
      <c r="CA83" s="69"/>
      <c r="CB83" s="69"/>
      <c r="CC83" s="69"/>
    </row>
    <row r="84" spans="1:81" s="111" customFormat="1" ht="16.5" thickBot="1">
      <c r="A84" s="474" t="s">
        <v>215</v>
      </c>
      <c r="B84" s="474"/>
      <c r="C84" s="474"/>
      <c r="D84" s="474"/>
      <c r="E84" s="474"/>
      <c r="F84" s="475"/>
      <c r="G84" s="178"/>
      <c r="H84" s="178"/>
      <c r="I84" s="178"/>
      <c r="J84" s="178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69"/>
      <c r="BS84" s="69"/>
      <c r="BT84" s="69"/>
      <c r="BU84" s="69"/>
      <c r="BV84" s="69"/>
      <c r="BW84" s="69"/>
      <c r="BX84" s="69"/>
      <c r="BY84" s="69"/>
      <c r="BZ84" s="69"/>
      <c r="CA84" s="69"/>
      <c r="CB84" s="69"/>
      <c r="CC84" s="69"/>
    </row>
    <row r="85" spans="1:81" s="111" customFormat="1">
      <c r="A85" s="126" t="s">
        <v>182</v>
      </c>
      <c r="B85" s="102" t="s">
        <v>210</v>
      </c>
      <c r="C85" s="134">
        <v>12</v>
      </c>
      <c r="D85" s="102">
        <f>ROUND(F85/F6,2)</f>
        <v>0</v>
      </c>
      <c r="E85" s="125"/>
      <c r="F85" s="124">
        <f ca="1">пр.4!F26</f>
        <v>0</v>
      </c>
      <c r="G85" s="102">
        <f>IF(G$6=0,0,D85)</f>
        <v>0</v>
      </c>
      <c r="H85" s="102">
        <f>IF(H$6=0,0,D85)</f>
        <v>0</v>
      </c>
      <c r="I85" s="102">
        <f>IF(I$6=0,0,D85)</f>
        <v>0</v>
      </c>
      <c r="J85" s="102">
        <f>IF(J$6=0,0,D85)</f>
        <v>0</v>
      </c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</row>
    <row r="86" spans="1:81" s="111" customFormat="1" hidden="1">
      <c r="A86" s="77" t="s">
        <v>181</v>
      </c>
      <c r="B86" s="97" t="s">
        <v>210</v>
      </c>
      <c r="C86" s="132">
        <v>12</v>
      </c>
      <c r="D86" s="133">
        <f>ROUND(F86/F6,2)</f>
        <v>0</v>
      </c>
      <c r="E86" s="131"/>
      <c r="F86" s="130">
        <f ca="1">пр.4!F27</f>
        <v>0</v>
      </c>
      <c r="G86" s="133">
        <f>IF(G$6=0,0,D86)</f>
        <v>0</v>
      </c>
      <c r="H86" s="133">
        <f>IF(H$6=0,0,D86)</f>
        <v>0</v>
      </c>
      <c r="I86" s="133">
        <f>IF(I$6=0,0,D86)</f>
        <v>0</v>
      </c>
      <c r="J86" s="133">
        <f>IF(J$6=0,0,D86)</f>
        <v>0</v>
      </c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69"/>
      <c r="BV86" s="69"/>
      <c r="BW86" s="69"/>
      <c r="BX86" s="69"/>
      <c r="BY86" s="69"/>
      <c r="BZ86" s="69"/>
      <c r="CA86" s="69"/>
      <c r="CB86" s="69"/>
      <c r="CC86" s="69"/>
    </row>
    <row r="87" spans="1:81" s="111" customFormat="1" hidden="1">
      <c r="A87" s="77" t="s">
        <v>180</v>
      </c>
      <c r="B87" s="97" t="s">
        <v>210</v>
      </c>
      <c r="C87" s="131"/>
      <c r="D87" s="132"/>
      <c r="E87" s="131"/>
      <c r="F87" s="130">
        <f ca="1">ROUND(пр.4!F28/12,2)</f>
        <v>0</v>
      </c>
      <c r="G87" s="132">
        <f>IF(G$6=0,0,D87)</f>
        <v>0</v>
      </c>
      <c r="H87" s="132">
        <f>IF(H$6=0,0,D87)</f>
        <v>0</v>
      </c>
      <c r="I87" s="132">
        <f>IF(I$6=0,0,D87)</f>
        <v>0</v>
      </c>
      <c r="J87" s="132">
        <f>IF(J$6=0,0,D87)</f>
        <v>0</v>
      </c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69"/>
      <c r="BS87" s="69"/>
      <c r="BT87" s="69"/>
      <c r="BU87" s="69"/>
      <c r="BV87" s="69"/>
      <c r="BW87" s="69"/>
      <c r="BX87" s="69"/>
      <c r="BY87" s="69"/>
      <c r="BZ87" s="69"/>
      <c r="CA87" s="69"/>
      <c r="CB87" s="69"/>
      <c r="CC87" s="69"/>
    </row>
    <row r="88" spans="1:81" s="111" customFormat="1">
      <c r="A88" s="77"/>
      <c r="B88" s="97" t="s">
        <v>210</v>
      </c>
      <c r="C88" s="131"/>
      <c r="D88" s="132"/>
      <c r="E88" s="131"/>
      <c r="F88" s="130"/>
      <c r="G88" s="132">
        <f>IF(G$6=0,0,D88)</f>
        <v>0</v>
      </c>
      <c r="H88" s="132">
        <f>IF(H$6=0,0,D88)</f>
        <v>0</v>
      </c>
      <c r="I88" s="132">
        <f>IF(I$6=0,0,D88)</f>
        <v>0</v>
      </c>
      <c r="J88" s="132">
        <f>IF(J$6=0,0,D88)</f>
        <v>0</v>
      </c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69"/>
      <c r="BM88" s="69"/>
      <c r="BN88" s="69"/>
      <c r="BO88" s="69"/>
      <c r="BP88" s="69"/>
      <c r="BQ88" s="69"/>
      <c r="BR88" s="69"/>
      <c r="BS88" s="69"/>
      <c r="BT88" s="69"/>
      <c r="BU88" s="69"/>
      <c r="BV88" s="69"/>
      <c r="BW88" s="69"/>
      <c r="BX88" s="69"/>
      <c r="BY88" s="69"/>
      <c r="BZ88" s="69"/>
      <c r="CA88" s="69"/>
      <c r="CB88" s="69"/>
      <c r="CC88" s="69"/>
    </row>
    <row r="89" spans="1:81" s="116" customFormat="1" ht="13.5" thickBot="1">
      <c r="A89" s="129" t="s">
        <v>209</v>
      </c>
      <c r="B89" s="128"/>
      <c r="C89" s="128"/>
      <c r="D89" s="127">
        <f>D85+D86+D87+D88</f>
        <v>0</v>
      </c>
      <c r="E89" s="128"/>
      <c r="F89" s="127">
        <f>F85+F86+F87+F88</f>
        <v>0</v>
      </c>
      <c r="G89" s="127">
        <f>G85+G86+G87+G88</f>
        <v>0</v>
      </c>
      <c r="H89" s="127">
        <f>H85+H86+H87+H88</f>
        <v>0</v>
      </c>
      <c r="I89" s="127">
        <f>I85+I86+I87+I88</f>
        <v>0</v>
      </c>
      <c r="J89" s="127">
        <f>J85+J86+J87+J88</f>
        <v>0</v>
      </c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69"/>
    </row>
    <row r="90" spans="1:81" s="111" customFormat="1" ht="35.25" customHeight="1" thickBot="1">
      <c r="A90" s="472" t="s">
        <v>214</v>
      </c>
      <c r="B90" s="472"/>
      <c r="C90" s="472"/>
      <c r="D90" s="472"/>
      <c r="E90" s="472"/>
      <c r="F90" s="472"/>
      <c r="G90" s="473"/>
      <c r="H90" s="473"/>
      <c r="I90" s="473"/>
      <c r="J90" s="473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</row>
    <row r="91" spans="1:81" s="111" customFormat="1">
      <c r="A91" s="126" t="s">
        <v>175</v>
      </c>
      <c r="B91" s="102" t="s">
        <v>210</v>
      </c>
      <c r="C91" s="125"/>
      <c r="D91" s="102">
        <f>ROUND(F91/F6,2)</f>
        <v>0</v>
      </c>
      <c r="E91" s="125"/>
      <c r="F91" s="124">
        <f ca="1">пр.4!F36</f>
        <v>0</v>
      </c>
      <c r="G91" s="102">
        <f>IF(G$6=0,0,D91)</f>
        <v>0</v>
      </c>
      <c r="H91" s="102">
        <f>IF(H$6=0,0,D91)</f>
        <v>0</v>
      </c>
      <c r="I91" s="102">
        <f>IF(I$6=0,0,D91)</f>
        <v>0</v>
      </c>
      <c r="J91" s="102">
        <f>IF(J$6=0,0,D91)</f>
        <v>0</v>
      </c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</row>
    <row r="92" spans="1:81" s="116" customFormat="1" ht="13.5" thickBot="1">
      <c r="A92" s="129" t="s">
        <v>209</v>
      </c>
      <c r="B92" s="128"/>
      <c r="C92" s="128"/>
      <c r="D92" s="127">
        <f>D91</f>
        <v>0</v>
      </c>
      <c r="E92" s="128"/>
      <c r="F92" s="127">
        <f ca="1">F91</f>
        <v>0</v>
      </c>
      <c r="G92" s="127">
        <f>G91</f>
        <v>0</v>
      </c>
      <c r="H92" s="127">
        <f>H91</f>
        <v>0</v>
      </c>
      <c r="I92" s="127">
        <f>I91</f>
        <v>0</v>
      </c>
      <c r="J92" s="127">
        <f>J91</f>
        <v>0</v>
      </c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</row>
    <row r="93" spans="1:81" s="111" customFormat="1" ht="20.25" customHeight="1" thickBot="1">
      <c r="A93" s="472" t="s">
        <v>213</v>
      </c>
      <c r="B93" s="472"/>
      <c r="C93" s="472"/>
      <c r="D93" s="472"/>
      <c r="E93" s="472"/>
      <c r="F93" s="472"/>
      <c r="G93" s="473"/>
      <c r="H93" s="473"/>
      <c r="I93" s="473"/>
      <c r="J93" s="473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</row>
    <row r="94" spans="1:81" s="111" customFormat="1">
      <c r="A94" s="126"/>
      <c r="B94" s="102" t="s">
        <v>210</v>
      </c>
      <c r="C94" s="125"/>
      <c r="D94" s="102">
        <f>ROUND(F94/F6,2)</f>
        <v>0</v>
      </c>
      <c r="E94" s="125"/>
      <c r="F94" s="124">
        <f ca="1">пр.4!F43</f>
        <v>0</v>
      </c>
      <c r="G94" s="102">
        <f>IF(G$6=0,0,D94)</f>
        <v>0</v>
      </c>
      <c r="H94" s="102">
        <f>IF(H$6=0,0,D94)</f>
        <v>0</v>
      </c>
      <c r="I94" s="102">
        <f>IF(I$6=0,0,D94)</f>
        <v>0</v>
      </c>
      <c r="J94" s="102">
        <f>IF(J$6=0,0,D94)</f>
        <v>0</v>
      </c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</row>
    <row r="95" spans="1:81" s="111" customFormat="1" ht="13.5" thickBot="1">
      <c r="A95" s="123"/>
      <c r="B95" s="122" t="s">
        <v>210</v>
      </c>
      <c r="C95" s="120"/>
      <c r="D95" s="121">
        <f>ROUND(F95/F6,2)</f>
        <v>0</v>
      </c>
      <c r="E95" s="120"/>
      <c r="F95" s="119">
        <f ca="1">пр.4!F44</f>
        <v>0</v>
      </c>
      <c r="G95" s="121">
        <f>IF(G$6=0,0,D95)</f>
        <v>0</v>
      </c>
      <c r="H95" s="121">
        <f>IF(H$6=0,0,D95)</f>
        <v>0</v>
      </c>
      <c r="I95" s="121">
        <f>IF(I$6=0,0,D95)</f>
        <v>0</v>
      </c>
      <c r="J95" s="121">
        <f>IF(J$6=0,0,D95)</f>
        <v>0</v>
      </c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</row>
    <row r="96" spans="1:81" s="116" customFormat="1">
      <c r="A96" s="118" t="s">
        <v>209</v>
      </c>
      <c r="B96" s="118"/>
      <c r="C96" s="118"/>
      <c r="D96" s="117">
        <f>D94+D95</f>
        <v>0</v>
      </c>
      <c r="E96" s="118"/>
      <c r="F96" s="117">
        <f>F94+F95</f>
        <v>0</v>
      </c>
      <c r="G96" s="117">
        <f>G94+G95</f>
        <v>0</v>
      </c>
      <c r="H96" s="117">
        <f>H94+H95</f>
        <v>0</v>
      </c>
      <c r="I96" s="117">
        <f>I94+I95</f>
        <v>0</v>
      </c>
      <c r="J96" s="117">
        <f>J94+J95</f>
        <v>0</v>
      </c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</row>
    <row r="97" spans="1:81" s="111" customFormat="1" ht="16.5" thickBot="1">
      <c r="A97" s="476" t="s">
        <v>212</v>
      </c>
      <c r="B97" s="477"/>
      <c r="C97" s="477"/>
      <c r="D97" s="477"/>
      <c r="E97" s="477"/>
      <c r="F97" s="477"/>
      <c r="G97" s="478"/>
      <c r="H97" s="478"/>
      <c r="I97" s="478"/>
      <c r="J97" s="478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</row>
    <row r="98" spans="1:81" s="111" customFormat="1">
      <c r="A98" s="25" t="s">
        <v>312</v>
      </c>
      <c r="B98" s="102" t="s">
        <v>210</v>
      </c>
      <c r="C98" s="102">
        <v>12</v>
      </c>
      <c r="D98" s="103">
        <f>ROUND(F98/F6,2)</f>
        <v>52.42</v>
      </c>
      <c r="E98" s="102"/>
      <c r="F98" s="101">
        <f ca="1">пр.5!H6+пр.5!H7</f>
        <v>31768.99</v>
      </c>
      <c r="G98" s="103">
        <f t="shared" ref="G98:G103" si="12">IF(G$6=0,0,D98)</f>
        <v>52.42</v>
      </c>
      <c r="H98" s="103">
        <f t="shared" ref="H98:H103" si="13">IF(H$6=0,0,D98)</f>
        <v>52.42</v>
      </c>
      <c r="I98" s="103">
        <f t="shared" ref="I98:I103" si="14">IF(I$6=0,0,D98)</f>
        <v>52.42</v>
      </c>
      <c r="J98" s="103">
        <f t="shared" ref="J98:J103" si="15">IF(J$6=0,0,D98)</f>
        <v>0</v>
      </c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</row>
    <row r="99" spans="1:81" s="111" customFormat="1">
      <c r="A99" s="22" t="s">
        <v>313</v>
      </c>
      <c r="B99" s="97" t="s">
        <v>210</v>
      </c>
      <c r="C99" s="97">
        <v>12</v>
      </c>
      <c r="D99" s="98">
        <f>ROUND(F99/F6,2)</f>
        <v>49.3</v>
      </c>
      <c r="E99" s="97"/>
      <c r="F99" s="96">
        <f ca="1">пр.5!H8+пр.5!H9</f>
        <v>29875.940000000002</v>
      </c>
      <c r="G99" s="98">
        <f t="shared" si="12"/>
        <v>49.3</v>
      </c>
      <c r="H99" s="98">
        <f t="shared" si="13"/>
        <v>49.3</v>
      </c>
      <c r="I99" s="98">
        <f t="shared" si="14"/>
        <v>49.3</v>
      </c>
      <c r="J99" s="98">
        <f t="shared" si="15"/>
        <v>0</v>
      </c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</row>
    <row r="100" spans="1:81" s="111" customFormat="1">
      <c r="A100" s="32" t="s">
        <v>196</v>
      </c>
      <c r="B100" s="97" t="s">
        <v>210</v>
      </c>
      <c r="C100" s="97">
        <v>12</v>
      </c>
      <c r="D100" s="98">
        <f>ROUND(F100/F6,2)</f>
        <v>23.46</v>
      </c>
      <c r="E100" s="97"/>
      <c r="F100" s="96">
        <f ca="1">пр.5!H10+пр.5!H11+пр.5!H12+пр.5!H13+пр.5!H14+пр.5!H15+пр.5!H16+пр.5!H17</f>
        <v>14218.42</v>
      </c>
      <c r="G100" s="98">
        <f t="shared" si="12"/>
        <v>23.46</v>
      </c>
      <c r="H100" s="98">
        <f t="shared" si="13"/>
        <v>23.46</v>
      </c>
      <c r="I100" s="98">
        <f t="shared" si="14"/>
        <v>23.46</v>
      </c>
      <c r="J100" s="98">
        <f t="shared" si="15"/>
        <v>0</v>
      </c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</row>
    <row r="101" spans="1:81" s="111" customFormat="1">
      <c r="A101" s="32" t="s">
        <v>314</v>
      </c>
      <c r="B101" s="97" t="s">
        <v>210</v>
      </c>
      <c r="C101" s="97">
        <v>12</v>
      </c>
      <c r="D101" s="98">
        <f>ROUND(F101/F6,2)</f>
        <v>955.53</v>
      </c>
      <c r="E101" s="97"/>
      <c r="F101" s="96">
        <f ca="1">пр.5!H18+пр.5!H19+пр.5!H20+пр.5!H21</f>
        <v>579048.14999999991</v>
      </c>
      <c r="G101" s="98">
        <f t="shared" si="12"/>
        <v>955.53</v>
      </c>
      <c r="H101" s="98">
        <f t="shared" si="13"/>
        <v>955.53</v>
      </c>
      <c r="I101" s="98">
        <f t="shared" si="14"/>
        <v>955.53</v>
      </c>
      <c r="J101" s="98">
        <f t="shared" si="15"/>
        <v>0</v>
      </c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</row>
    <row r="102" spans="1:81" s="111" customFormat="1">
      <c r="A102" s="32" t="s">
        <v>315</v>
      </c>
      <c r="B102" s="97" t="s">
        <v>210</v>
      </c>
      <c r="C102" s="97">
        <v>12</v>
      </c>
      <c r="D102" s="98">
        <f>ROUND(F102/F6,2)</f>
        <v>482.63</v>
      </c>
      <c r="E102" s="97"/>
      <c r="F102" s="96">
        <f ca="1">пр.5!H22</f>
        <v>292476.24</v>
      </c>
      <c r="G102" s="98">
        <f t="shared" si="12"/>
        <v>482.63</v>
      </c>
      <c r="H102" s="98">
        <f t="shared" si="13"/>
        <v>482.63</v>
      </c>
      <c r="I102" s="98">
        <f t="shared" si="14"/>
        <v>482.63</v>
      </c>
      <c r="J102" s="98">
        <f t="shared" si="15"/>
        <v>0</v>
      </c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</row>
    <row r="103" spans="1:81" s="111" customFormat="1" ht="12.75" hidden="1" customHeight="1">
      <c r="A103" s="22" t="s">
        <v>316</v>
      </c>
      <c r="B103" s="97" t="s">
        <v>210</v>
      </c>
      <c r="C103" s="97">
        <v>12</v>
      </c>
      <c r="D103" s="98">
        <f>ROUND(F103/F6,2)</f>
        <v>0</v>
      </c>
      <c r="E103" s="97"/>
      <c r="F103" s="96">
        <f ca="1">пр.5!F23</f>
        <v>0</v>
      </c>
      <c r="G103" s="98">
        <f t="shared" si="12"/>
        <v>0</v>
      </c>
      <c r="H103" s="98">
        <f t="shared" si="13"/>
        <v>0</v>
      </c>
      <c r="I103" s="98">
        <f t="shared" si="14"/>
        <v>0</v>
      </c>
      <c r="J103" s="98">
        <f t="shared" si="15"/>
        <v>0</v>
      </c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</row>
    <row r="104" spans="1:81" s="111" customFormat="1" ht="13.5" thickBot="1">
      <c r="A104" s="115" t="s">
        <v>209</v>
      </c>
      <c r="B104" s="114"/>
      <c r="C104" s="114"/>
      <c r="D104" s="112">
        <f>SUM(D98:D103)</f>
        <v>1563.3400000000001</v>
      </c>
      <c r="E104" s="113"/>
      <c r="F104" s="112">
        <f>SUM(F98:F103)</f>
        <v>947387.73999999987</v>
      </c>
      <c r="G104" s="112">
        <f>SUM(G98:G103)</f>
        <v>1563.3400000000001</v>
      </c>
      <c r="H104" s="112">
        <f>SUM(H98:H103)</f>
        <v>1563.3400000000001</v>
      </c>
      <c r="I104" s="112">
        <f>SUM(I98:I103)</f>
        <v>1563.3400000000001</v>
      </c>
      <c r="J104" s="112">
        <f>SUM(J98:J103)</f>
        <v>0</v>
      </c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</row>
    <row r="105" spans="1:81" s="106" customFormat="1" ht="26.25" thickBot="1">
      <c r="A105" s="110" t="s">
        <v>211</v>
      </c>
      <c r="B105" s="108"/>
      <c r="C105" s="108"/>
      <c r="D105" s="109">
        <f>D104+D96+D92+D89+D83+D78+D67+D63+D32</f>
        <v>14567.79</v>
      </c>
      <c r="E105" s="108"/>
      <c r="F105" s="107">
        <f>F104+F96+F92+F89+F83+F78+F67+F63+F32</f>
        <v>8828078.4100000001</v>
      </c>
      <c r="G105" s="109">
        <f>G104+G96+G92+G89+G83+G78+G67+G63+G32</f>
        <v>14567.79</v>
      </c>
      <c r="H105" s="109">
        <f>H104+H96+H92+H89+H83+H78+H67+H63+H32</f>
        <v>14567.79</v>
      </c>
      <c r="I105" s="109">
        <f>I104+I96+I92+I89+I83+I78+I67+I63+I32</f>
        <v>14567.79</v>
      </c>
      <c r="J105" s="109">
        <f>J104+J96+J92+J89+J83+J78+J67+J63+J32</f>
        <v>0</v>
      </c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</row>
    <row r="106" spans="1:81" ht="22.5" customHeight="1" thickBot="1">
      <c r="A106" s="466" t="s">
        <v>317</v>
      </c>
      <c r="B106" s="467"/>
      <c r="C106" s="467"/>
      <c r="D106" s="467"/>
      <c r="E106" s="467"/>
      <c r="F106" s="467"/>
      <c r="G106" s="468"/>
      <c r="H106" s="468"/>
      <c r="I106" s="468"/>
      <c r="J106" s="468"/>
    </row>
    <row r="107" spans="1:81">
      <c r="A107" s="105" t="str">
        <f ca="1">пр.6!A6</f>
        <v>Налог на имущество</v>
      </c>
      <c r="B107" s="102" t="s">
        <v>210</v>
      </c>
      <c r="C107" s="104">
        <v>2.1999999999999999E-2</v>
      </c>
      <c r="D107" s="103">
        <f>ROUND(F107/F6,2)</f>
        <v>837.55</v>
      </c>
      <c r="E107" s="102"/>
      <c r="F107" s="101">
        <f ca="1">пр.6!D6</f>
        <v>507556</v>
      </c>
      <c r="G107" s="103">
        <f t="shared" ref="G107:G114" si="16">IF(G$6=0,0,D107)</f>
        <v>837.55</v>
      </c>
      <c r="H107" s="103">
        <f t="shared" ref="H107:H114" si="17">IF(H$6=0,0,D107)</f>
        <v>837.55</v>
      </c>
      <c r="I107" s="103">
        <f t="shared" ref="I107:I114" si="18">IF(I$6=0,0,D107)</f>
        <v>837.55</v>
      </c>
      <c r="J107" s="103">
        <f t="shared" ref="J107:J114" si="19">IF(J$6=0,0,D107)</f>
        <v>0</v>
      </c>
    </row>
    <row r="108" spans="1:81">
      <c r="A108" s="100" t="str">
        <f ca="1">пр.6!A7</f>
        <v>Земельный налог</v>
      </c>
      <c r="B108" s="97" t="s">
        <v>210</v>
      </c>
      <c r="C108" s="99">
        <v>1.4999999999999999E-2</v>
      </c>
      <c r="D108" s="98">
        <f>ROUND(F108/F6,2)</f>
        <v>618.09</v>
      </c>
      <c r="E108" s="97"/>
      <c r="F108" s="96">
        <f ca="1">пр.6!D7</f>
        <v>374560</v>
      </c>
      <c r="G108" s="98">
        <f t="shared" si="16"/>
        <v>618.09</v>
      </c>
      <c r="H108" s="98">
        <f t="shared" si="17"/>
        <v>618.09</v>
      </c>
      <c r="I108" s="98">
        <f t="shared" si="18"/>
        <v>618.09</v>
      </c>
      <c r="J108" s="98">
        <f t="shared" si="19"/>
        <v>0</v>
      </c>
    </row>
    <row r="109" spans="1:81" hidden="1">
      <c r="A109" s="100" t="str">
        <f ca="1">пр.6!A10</f>
        <v>Транспортный налог</v>
      </c>
      <c r="B109" s="97" t="s">
        <v>210</v>
      </c>
      <c r="C109" s="99"/>
      <c r="D109" s="98">
        <f>ROUND(F109/F6,2)</f>
        <v>9.36</v>
      </c>
      <c r="E109" s="97"/>
      <c r="F109" s="96">
        <f ca="1">пр.6!D10</f>
        <v>5670</v>
      </c>
      <c r="G109" s="98">
        <f t="shared" si="16"/>
        <v>9.36</v>
      </c>
      <c r="H109" s="98">
        <f t="shared" si="17"/>
        <v>9.36</v>
      </c>
      <c r="I109" s="98">
        <f t="shared" si="18"/>
        <v>9.36</v>
      </c>
      <c r="J109" s="98">
        <f t="shared" si="19"/>
        <v>0</v>
      </c>
    </row>
    <row r="110" spans="1:81" hidden="1">
      <c r="A110" s="100" t="s">
        <v>204</v>
      </c>
      <c r="B110" s="97" t="s">
        <v>210</v>
      </c>
      <c r="C110" s="99"/>
      <c r="D110" s="98">
        <f>ROUND(F110/F6,2)</f>
        <v>0</v>
      </c>
      <c r="E110" s="97"/>
      <c r="F110" s="96">
        <f ca="1">пр.6!D9</f>
        <v>0</v>
      </c>
      <c r="G110" s="98">
        <f t="shared" si="16"/>
        <v>0</v>
      </c>
      <c r="H110" s="98">
        <f t="shared" si="17"/>
        <v>0</v>
      </c>
      <c r="I110" s="98">
        <f t="shared" si="18"/>
        <v>0</v>
      </c>
      <c r="J110" s="98">
        <f t="shared" si="19"/>
        <v>0</v>
      </c>
    </row>
    <row r="111" spans="1:81" hidden="1">
      <c r="A111" s="100" t="s">
        <v>203</v>
      </c>
      <c r="B111" s="97" t="s">
        <v>210</v>
      </c>
      <c r="C111" s="99"/>
      <c r="D111" s="98">
        <f>ROUND(F111/F6,2)</f>
        <v>0</v>
      </c>
      <c r="E111" s="97"/>
      <c r="F111" s="96">
        <f ca="1">пр.6!D8</f>
        <v>0</v>
      </c>
      <c r="G111" s="98">
        <f t="shared" si="16"/>
        <v>0</v>
      </c>
      <c r="H111" s="98">
        <f t="shared" si="17"/>
        <v>0</v>
      </c>
      <c r="I111" s="98">
        <f t="shared" si="18"/>
        <v>0</v>
      </c>
      <c r="J111" s="98">
        <f t="shared" si="19"/>
        <v>0</v>
      </c>
    </row>
    <row r="112" spans="1:81">
      <c r="A112" s="32" t="s">
        <v>195</v>
      </c>
      <c r="B112" s="97" t="s">
        <v>210</v>
      </c>
      <c r="C112" s="99"/>
      <c r="D112" s="98">
        <f>ROUND(F112/F6,2)</f>
        <v>848.96</v>
      </c>
      <c r="E112" s="97"/>
      <c r="F112" s="96">
        <f ca="1">пр.6!H16+пр.6!H17+пр.6!H18+пр.6!H19</f>
        <v>514468.72</v>
      </c>
      <c r="G112" s="98">
        <f t="shared" si="16"/>
        <v>848.96</v>
      </c>
      <c r="H112" s="98">
        <f t="shared" si="17"/>
        <v>848.96</v>
      </c>
      <c r="I112" s="98">
        <f t="shared" si="18"/>
        <v>848.96</v>
      </c>
      <c r="J112" s="98">
        <f t="shared" si="19"/>
        <v>0</v>
      </c>
    </row>
    <row r="113" spans="1:81">
      <c r="A113" s="32" t="s">
        <v>193</v>
      </c>
      <c r="B113" s="97" t="s">
        <v>210</v>
      </c>
      <c r="C113" s="99"/>
      <c r="D113" s="98">
        <f>ROUND(F113/F6,2)</f>
        <v>53.63</v>
      </c>
      <c r="E113" s="97"/>
      <c r="F113" s="96">
        <f ca="1">пр.6!H20</f>
        <v>32497.360000000001</v>
      </c>
      <c r="G113" s="98">
        <f t="shared" si="16"/>
        <v>53.63</v>
      </c>
      <c r="H113" s="98">
        <f t="shared" si="17"/>
        <v>53.63</v>
      </c>
      <c r="I113" s="98">
        <f t="shared" si="18"/>
        <v>53.63</v>
      </c>
      <c r="J113" s="98">
        <f t="shared" si="19"/>
        <v>0</v>
      </c>
    </row>
    <row r="114" spans="1:81">
      <c r="A114" s="100"/>
      <c r="B114" s="97"/>
      <c r="C114" s="99"/>
      <c r="D114" s="98"/>
      <c r="E114" s="97"/>
      <c r="F114" s="96"/>
      <c r="G114" s="98">
        <f t="shared" si="16"/>
        <v>0</v>
      </c>
      <c r="H114" s="98">
        <f t="shared" si="17"/>
        <v>0</v>
      </c>
      <c r="I114" s="98">
        <f t="shared" si="18"/>
        <v>0</v>
      </c>
      <c r="J114" s="98">
        <f t="shared" si="19"/>
        <v>0</v>
      </c>
    </row>
    <row r="115" spans="1:81" s="90" customFormat="1" ht="13.5" thickBot="1">
      <c r="A115" s="95" t="s">
        <v>209</v>
      </c>
      <c r="B115" s="92"/>
      <c r="C115" s="94"/>
      <c r="D115" s="93">
        <f>ROUND(F115/F6,2)</f>
        <v>2367.58</v>
      </c>
      <c r="E115" s="92"/>
      <c r="F115" s="91">
        <f>SUM(F107:F113)</f>
        <v>1434752.08</v>
      </c>
      <c r="G115" s="91">
        <f>SUM(G107:G113)</f>
        <v>2367.59</v>
      </c>
      <c r="H115" s="91">
        <f>SUM(H107:H113)</f>
        <v>2367.59</v>
      </c>
      <c r="I115" s="91">
        <f>SUM(I107:I113)</f>
        <v>2367.59</v>
      </c>
      <c r="J115" s="91">
        <f>SUM(J107:J113)</f>
        <v>0</v>
      </c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</row>
    <row r="116" spans="1:81" ht="17.25" thickBot="1">
      <c r="A116" s="185" t="s">
        <v>208</v>
      </c>
      <c r="B116" s="186"/>
      <c r="C116" s="186"/>
      <c r="D116" s="238">
        <f>D115+D105+D14</f>
        <v>34693.340000000004</v>
      </c>
      <c r="E116" s="239"/>
      <c r="F116" s="240">
        <f>F115+F105+F14</f>
        <v>21024165.490000002</v>
      </c>
      <c r="G116" s="238">
        <f>G115+G105+G14</f>
        <v>29057.65</v>
      </c>
      <c r="H116" s="238">
        <f>H115+H105+H14</f>
        <v>39176.25</v>
      </c>
      <c r="I116" s="238">
        <f>I115+I105+I14</f>
        <v>44130.09</v>
      </c>
      <c r="J116" s="238">
        <f>J115+J105+J14</f>
        <v>0</v>
      </c>
      <c r="K116" s="69">
        <f>G116*G6+H116*H6+I116*I6</f>
        <v>21024171.539999999</v>
      </c>
      <c r="L116" s="69">
        <f>K116/F6</f>
        <v>34693.352376237621</v>
      </c>
    </row>
    <row r="117" spans="1:81" ht="8.25" customHeight="1">
      <c r="F117" s="89"/>
    </row>
    <row r="118" spans="1:81" ht="5.25" hidden="1" customHeight="1">
      <c r="F118" s="88"/>
    </row>
    <row r="119" spans="1:81" s="11" customFormat="1">
      <c r="A119" s="15" t="s">
        <v>390</v>
      </c>
      <c r="B119" s="71"/>
      <c r="C119" s="215"/>
      <c r="D119" s="11" t="s">
        <v>385</v>
      </c>
      <c r="E119" s="11" t="s">
        <v>391</v>
      </c>
      <c r="G119" s="13"/>
      <c r="H119" s="12"/>
      <c r="I119" s="15"/>
      <c r="J119" s="12"/>
    </row>
    <row r="120" spans="1:81" s="11" customFormat="1">
      <c r="A120" s="68"/>
      <c r="B120" s="68"/>
      <c r="C120" s="68"/>
      <c r="D120" s="237"/>
      <c r="G120" s="13"/>
      <c r="H120" s="12"/>
      <c r="J120" s="35"/>
    </row>
    <row r="121" spans="1:81" s="11" customFormat="1">
      <c r="A121" s="11" t="s">
        <v>393</v>
      </c>
      <c r="B121" s="68"/>
      <c r="C121" s="216"/>
      <c r="D121" s="11" t="s">
        <v>385</v>
      </c>
      <c r="E121" s="11" t="s">
        <v>392</v>
      </c>
      <c r="G121" s="13"/>
      <c r="H121" s="12"/>
      <c r="J121" s="12"/>
    </row>
    <row r="122" spans="1:81">
      <c r="F122" s="88">
        <f ca="1">'проверка 2017'!C6</f>
        <v>21024165.490000002</v>
      </c>
      <c r="G122" s="268">
        <f>G116*G6</f>
        <v>8455776.1500000004</v>
      </c>
      <c r="H122" s="268">
        <f>H116*H6</f>
        <v>10538411.25</v>
      </c>
      <c r="I122" s="268">
        <f>I116*I6</f>
        <v>2029984.14</v>
      </c>
      <c r="J122" s="268">
        <f>J116*J6</f>
        <v>0</v>
      </c>
    </row>
    <row r="123" spans="1:81">
      <c r="F123" s="88">
        <f>F122-F116</f>
        <v>0</v>
      </c>
      <c r="G123" s="268">
        <f>G122+H122+I122+J122</f>
        <v>21024171.539999999</v>
      </c>
      <c r="H123" s="269"/>
      <c r="I123" s="269"/>
      <c r="J123" s="269"/>
    </row>
    <row r="124" spans="1:81">
      <c r="G124" s="268">
        <f>F116-G123</f>
        <v>-6.0499999970197678</v>
      </c>
      <c r="H124" s="269"/>
      <c r="I124" s="269"/>
      <c r="J124" s="269"/>
    </row>
    <row r="125" spans="1:81">
      <c r="G125" s="269"/>
      <c r="H125" s="269"/>
      <c r="I125" s="269"/>
      <c r="J125" s="269"/>
    </row>
    <row r="126" spans="1:81">
      <c r="G126" s="268">
        <f ca="1">'проверка 2017'!I33</f>
        <v>29057.63</v>
      </c>
      <c r="H126" s="268">
        <f ca="1">'проверка 2017'!K33</f>
        <v>39176.230000000003</v>
      </c>
      <c r="I126" s="268">
        <f ca="1">'проверка 2017'!M33</f>
        <v>44130.07</v>
      </c>
      <c r="J126" s="268">
        <f ca="1">'проверка 2017'!O33</f>
        <v>0</v>
      </c>
    </row>
    <row r="127" spans="1:81">
      <c r="G127" s="268">
        <f>G126-G116</f>
        <v>-2.0000000000436557E-2</v>
      </c>
      <c r="H127" s="268">
        <f>H126-H116</f>
        <v>-1.9999999996798579E-2</v>
      </c>
      <c r="I127" s="268">
        <f>I126-I116</f>
        <v>-1.9999999996798579E-2</v>
      </c>
      <c r="J127" s="268">
        <f>J126-J116</f>
        <v>0</v>
      </c>
    </row>
  </sheetData>
  <mergeCells count="21">
    <mergeCell ref="A97:J97"/>
    <mergeCell ref="A64:J64"/>
    <mergeCell ref="A27:J27"/>
    <mergeCell ref="A3:F3"/>
    <mergeCell ref="A80:J80"/>
    <mergeCell ref="A106:J106"/>
    <mergeCell ref="A33:J33"/>
    <mergeCell ref="A44:J44"/>
    <mergeCell ref="A90:J90"/>
    <mergeCell ref="A93:J93"/>
    <mergeCell ref="A84:F84"/>
    <mergeCell ref="A26:J26"/>
    <mergeCell ref="A5:J5"/>
    <mergeCell ref="A9:J9"/>
    <mergeCell ref="A20:J20"/>
    <mergeCell ref="A79:J79"/>
    <mergeCell ref="A1:J1"/>
    <mergeCell ref="A68:F68"/>
    <mergeCell ref="A15:J15"/>
    <mergeCell ref="A38:J38"/>
    <mergeCell ref="B2:J2"/>
  </mergeCells>
  <phoneticPr fontId="0" type="noConversion"/>
  <pageMargins left="0.78740157480314965" right="0.15748031496062992" top="0.23622047244094491" bottom="0.35433070866141736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4"/>
  <sheetViews>
    <sheetView tabSelected="1" topLeftCell="A6" workbookViewId="0">
      <selection activeCell="J5" sqref="J5:S49"/>
    </sheetView>
  </sheetViews>
  <sheetFormatPr defaultRowHeight="12.75"/>
  <cols>
    <col min="1" max="1" width="18.140625" style="12" customWidth="1"/>
    <col min="2" max="2" width="14.140625" style="12" customWidth="1"/>
    <col min="3" max="3" width="15.42578125" style="12" customWidth="1"/>
    <col min="4" max="4" width="11.7109375" style="12" customWidth="1"/>
    <col min="5" max="5" width="10.28515625" style="12" customWidth="1"/>
    <col min="6" max="6" width="12.28515625" style="12" customWidth="1"/>
    <col min="7" max="7" width="10.42578125" style="12" customWidth="1"/>
    <col min="8" max="8" width="10" style="12" bestFit="1" customWidth="1"/>
    <col min="9" max="9" width="10.140625" style="12" customWidth="1"/>
    <col min="10" max="10" width="10" style="12" bestFit="1" customWidth="1"/>
    <col min="11" max="11" width="10" style="11" bestFit="1" customWidth="1"/>
    <col min="12" max="14" width="9.140625" style="11"/>
    <col min="15" max="15" width="10" style="11" bestFit="1" customWidth="1"/>
    <col min="16" max="17" width="9.140625" style="11"/>
    <col min="18" max="18" width="10" style="11" bestFit="1" customWidth="1"/>
    <col min="19" max="19" width="11.7109375" style="11" customWidth="1"/>
    <col min="20" max="16384" width="9.140625" style="11"/>
  </cols>
  <sheetData>
    <row r="1" spans="1:17">
      <c r="F1" s="479" t="s">
        <v>152</v>
      </c>
      <c r="G1" s="479"/>
    </row>
    <row r="2" spans="1:17" s="47" customFormat="1" ht="35.25" customHeight="1">
      <c r="A2" s="480" t="s">
        <v>151</v>
      </c>
      <c r="B2" s="480"/>
      <c r="C2" s="480"/>
      <c r="D2" s="480"/>
      <c r="E2" s="480"/>
      <c r="F2" s="480"/>
      <c r="G2" s="480"/>
      <c r="H2" s="48"/>
      <c r="I2" s="48"/>
      <c r="J2" s="48"/>
    </row>
    <row r="3" spans="1:17" ht="11.25" customHeight="1">
      <c r="A3" s="27"/>
      <c r="B3" s="27"/>
      <c r="C3" s="27"/>
      <c r="D3" s="27"/>
      <c r="E3" s="27"/>
      <c r="F3" s="519"/>
      <c r="G3" s="519"/>
    </row>
    <row r="4" spans="1:17" ht="42" customHeight="1">
      <c r="A4" s="483" t="s">
        <v>150</v>
      </c>
      <c r="B4" s="483"/>
      <c r="C4" s="483"/>
      <c r="D4" s="483"/>
      <c r="E4" s="483"/>
      <c r="F4" s="483"/>
      <c r="G4" s="483"/>
    </row>
    <row r="5" spans="1:17" ht="38.25">
      <c r="A5" s="227" t="s">
        <v>134</v>
      </c>
      <c r="B5" s="227" t="s">
        <v>115</v>
      </c>
      <c r="C5" s="227" t="s">
        <v>114</v>
      </c>
      <c r="D5" s="227" t="s">
        <v>113</v>
      </c>
      <c r="E5" s="227" t="s">
        <v>112</v>
      </c>
      <c r="F5" s="227" t="s">
        <v>111</v>
      </c>
      <c r="G5" s="227" t="s">
        <v>110</v>
      </c>
    </row>
    <row r="6" spans="1:17">
      <c r="A6" s="21">
        <f>M10</f>
        <v>0</v>
      </c>
      <c r="B6" s="21">
        <f>P10</f>
        <v>0</v>
      </c>
      <c r="C6" s="21">
        <f>Q10</f>
        <v>0</v>
      </c>
      <c r="D6" s="21">
        <v>9</v>
      </c>
      <c r="E6" s="21">
        <v>1</v>
      </c>
      <c r="F6" s="21">
        <f>ROUND((A6*B6*C6)*D6*E6,2)</f>
        <v>0</v>
      </c>
      <c r="G6" s="21">
        <f>ROUND(F6*30.2%,0)</f>
        <v>0</v>
      </c>
      <c r="K6" s="11" t="s">
        <v>149</v>
      </c>
    </row>
    <row r="7" spans="1:17">
      <c r="A7" s="21">
        <f>M14</f>
        <v>0</v>
      </c>
      <c r="B7" s="21">
        <f>P14</f>
        <v>0</v>
      </c>
      <c r="C7" s="21">
        <f>Q14</f>
        <v>0</v>
      </c>
      <c r="D7" s="21">
        <v>3</v>
      </c>
      <c r="E7" s="21">
        <v>1.0549999999999999</v>
      </c>
      <c r="F7" s="21">
        <f>ROUND((A7*B7*C7)*D7*E7,2)</f>
        <v>0</v>
      </c>
      <c r="G7" s="21">
        <f>ROUND(F7*30.2%,0)</f>
        <v>0</v>
      </c>
      <c r="J7" s="12" t="s">
        <v>148</v>
      </c>
    </row>
    <row r="8" spans="1:17">
      <c r="A8" s="21"/>
      <c r="B8" s="21"/>
      <c r="C8" s="21"/>
      <c r="D8" s="21"/>
      <c r="E8" s="21"/>
      <c r="F8" s="21">
        <f>ROUND((A8*B8*C8)*D8*E8,2)</f>
        <v>0</v>
      </c>
      <c r="G8" s="21">
        <f>ROUND(F8*30.2%,2)</f>
        <v>0</v>
      </c>
      <c r="J8" s="33"/>
      <c r="K8" s="34"/>
      <c r="L8" s="33" t="s">
        <v>140</v>
      </c>
      <c r="M8" s="33" t="s">
        <v>139</v>
      </c>
      <c r="N8" s="33" t="s">
        <v>138</v>
      </c>
      <c r="O8" s="33" t="s">
        <v>137</v>
      </c>
      <c r="P8" s="33"/>
      <c r="Q8" s="33"/>
    </row>
    <row r="9" spans="1:17">
      <c r="A9" s="21" t="s">
        <v>109</v>
      </c>
      <c r="B9" s="21"/>
      <c r="C9" s="21"/>
      <c r="D9" s="21"/>
      <c r="E9" s="21"/>
      <c r="F9" s="46">
        <f>F8+F7+F6</f>
        <v>0</v>
      </c>
      <c r="G9" s="46">
        <f>G8+G7+G6</f>
        <v>0</v>
      </c>
      <c r="J9" s="33">
        <v>1</v>
      </c>
      <c r="K9" s="34" t="s">
        <v>127</v>
      </c>
      <c r="L9" s="37">
        <v>70635.759999999995</v>
      </c>
      <c r="M9" s="37">
        <v>8.5</v>
      </c>
      <c r="N9" s="33">
        <f>L9-O9</f>
        <v>70635.759999999995</v>
      </c>
      <c r="O9" s="37">
        <v>0</v>
      </c>
      <c r="P9" s="33"/>
      <c r="Q9" s="33"/>
    </row>
    <row r="10" spans="1:17">
      <c r="J10" s="33"/>
      <c r="K10" s="33" t="s">
        <v>126</v>
      </c>
      <c r="L10" s="33">
        <f>O10+N10</f>
        <v>0</v>
      </c>
      <c r="M10" s="37">
        <v>0</v>
      </c>
      <c r="N10" s="37">
        <v>0</v>
      </c>
      <c r="O10" s="37">
        <v>0</v>
      </c>
      <c r="P10" s="33">
        <f>IF(M10=0,0,ROUND(N10/M10,2))</f>
        <v>0</v>
      </c>
      <c r="Q10" s="33">
        <f>IF(N10=0,0,O10/N10+1)</f>
        <v>0</v>
      </c>
    </row>
    <row r="11" spans="1:17" ht="28.5" customHeight="1" thickBot="1">
      <c r="A11" s="513" t="s">
        <v>147</v>
      </c>
      <c r="B11" s="513"/>
      <c r="C11" s="513"/>
      <c r="D11" s="513"/>
      <c r="E11" s="513"/>
      <c r="F11" s="513"/>
      <c r="G11" s="513"/>
      <c r="J11" s="33"/>
      <c r="K11" s="33" t="s">
        <v>125</v>
      </c>
      <c r="L11" s="33">
        <f>L9-L10</f>
        <v>70635.759999999995</v>
      </c>
      <c r="M11" s="33">
        <f>M9-M10</f>
        <v>8.5</v>
      </c>
      <c r="N11" s="33">
        <f>N9-N10</f>
        <v>70635.759999999995</v>
      </c>
      <c r="O11" s="33">
        <f>O9-O10</f>
        <v>0</v>
      </c>
      <c r="P11" s="33">
        <f>ROUND(N11/M11,2)</f>
        <v>8310.09</v>
      </c>
      <c r="Q11" s="33">
        <f>O11/N11+1</f>
        <v>1</v>
      </c>
    </row>
    <row r="12" spans="1:17">
      <c r="A12" s="230" t="s">
        <v>146</v>
      </c>
      <c r="B12" s="218" t="s">
        <v>145</v>
      </c>
      <c r="C12" s="218" t="s">
        <v>133</v>
      </c>
      <c r="D12" s="517" t="s">
        <v>128</v>
      </c>
      <c r="E12" s="518"/>
      <c r="J12" s="34"/>
      <c r="K12" s="33"/>
      <c r="L12" s="33"/>
      <c r="M12" s="33"/>
      <c r="N12" s="33"/>
      <c r="O12" s="33"/>
      <c r="P12" s="33"/>
      <c r="Q12" s="33"/>
    </row>
    <row r="13" spans="1:17">
      <c r="A13" s="22"/>
      <c r="B13" s="21"/>
      <c r="C13" s="21"/>
      <c r="D13" s="514"/>
      <c r="E13" s="512"/>
      <c r="J13" s="34">
        <v>2</v>
      </c>
      <c r="K13" s="34" t="s">
        <v>127</v>
      </c>
      <c r="L13" s="37">
        <v>76196.31</v>
      </c>
      <c r="M13" s="37">
        <v>8.5</v>
      </c>
      <c r="N13" s="33">
        <f>L13-O13</f>
        <v>76196.31</v>
      </c>
      <c r="O13" s="37">
        <v>0</v>
      </c>
      <c r="P13" s="33"/>
      <c r="Q13" s="33"/>
    </row>
    <row r="14" spans="1:17" ht="13.5" thickBot="1">
      <c r="A14" s="20"/>
      <c r="B14" s="19"/>
      <c r="C14" s="19"/>
      <c r="D14" s="515"/>
      <c r="E14" s="516"/>
      <c r="J14" s="41"/>
      <c r="K14" s="33" t="s">
        <v>126</v>
      </c>
      <c r="L14" s="33">
        <f>O14+N14</f>
        <v>0</v>
      </c>
      <c r="M14" s="37">
        <v>0</v>
      </c>
      <c r="N14" s="37">
        <v>0</v>
      </c>
      <c r="O14" s="37">
        <v>0</v>
      </c>
      <c r="P14" s="33">
        <f>IF(M14=0,0,ROUND(N14/M14,2))</f>
        <v>0</v>
      </c>
      <c r="Q14" s="33">
        <f>IF(N14=0,0,O14/N14+1)</f>
        <v>0</v>
      </c>
    </row>
    <row r="15" spans="1:17">
      <c r="A15" s="44"/>
      <c r="B15" s="44"/>
      <c r="C15" s="44"/>
      <c r="D15" s="44"/>
      <c r="E15" s="44"/>
      <c r="J15" s="41"/>
      <c r="K15" s="33" t="s">
        <v>125</v>
      </c>
      <c r="L15" s="33">
        <f>L13-L14</f>
        <v>76196.31</v>
      </c>
      <c r="M15" s="33">
        <f>M13-M14</f>
        <v>8.5</v>
      </c>
      <c r="N15" s="33">
        <f>N13-N14</f>
        <v>76196.31</v>
      </c>
      <c r="O15" s="33">
        <f>O13-O14</f>
        <v>0</v>
      </c>
      <c r="P15" s="33">
        <f>ROUND(N15/M15,2)</f>
        <v>8964.27</v>
      </c>
      <c r="Q15" s="33">
        <f>O15/N15+1</f>
        <v>1</v>
      </c>
    </row>
    <row r="16" spans="1:17">
      <c r="A16" s="44"/>
      <c r="B16" s="44"/>
      <c r="C16" s="44"/>
      <c r="D16" s="44"/>
      <c r="E16" s="44"/>
      <c r="J16" s="41"/>
      <c r="K16" s="33"/>
      <c r="L16" s="33"/>
      <c r="M16" s="37"/>
      <c r="N16" s="37"/>
      <c r="O16" s="37"/>
      <c r="P16" s="33"/>
      <c r="Q16" s="33"/>
    </row>
    <row r="17" spans="1:18">
      <c r="A17" s="22"/>
      <c r="B17" s="21"/>
      <c r="C17" s="21"/>
      <c r="D17" s="514"/>
      <c r="E17" s="512"/>
      <c r="J17" s="34">
        <v>3</v>
      </c>
      <c r="K17" s="34" t="s">
        <v>127</v>
      </c>
      <c r="L17" s="37">
        <v>78572.210000000006</v>
      </c>
      <c r="M17" s="37">
        <v>8.5</v>
      </c>
      <c r="N17" s="33">
        <f>L17-O17</f>
        <v>78572.210000000006</v>
      </c>
      <c r="O17" s="37">
        <v>0</v>
      </c>
      <c r="P17" s="33"/>
      <c r="Q17" s="33"/>
    </row>
    <row r="18" spans="1:18" ht="13.5" thickBot="1">
      <c r="A18" s="20"/>
      <c r="B18" s="19"/>
      <c r="C18" s="19"/>
      <c r="D18" s="515"/>
      <c r="E18" s="516"/>
      <c r="J18" s="41"/>
      <c r="K18" s="33" t="s">
        <v>126</v>
      </c>
      <c r="L18" s="33">
        <f>O18+N18</f>
        <v>0</v>
      </c>
      <c r="M18" s="37">
        <v>0</v>
      </c>
      <c r="N18" s="37">
        <v>0</v>
      </c>
      <c r="O18" s="37">
        <v>0</v>
      </c>
      <c r="P18" s="33">
        <f>IF(M18=0,0,ROUND(N18/M18,2))</f>
        <v>0</v>
      </c>
      <c r="Q18" s="33">
        <f>IF(N18=0,0,O18/N18+1)</f>
        <v>0</v>
      </c>
    </row>
    <row r="19" spans="1:18">
      <c r="A19" s="44"/>
      <c r="B19" s="44"/>
      <c r="C19" s="44"/>
      <c r="D19" s="44"/>
      <c r="E19" s="44"/>
      <c r="J19" s="41"/>
      <c r="K19" s="33" t="s">
        <v>125</v>
      </c>
      <c r="L19" s="33">
        <f>L17-L18</f>
        <v>78572.210000000006</v>
      </c>
      <c r="M19" s="33">
        <f>M17-M18</f>
        <v>8.5</v>
      </c>
      <c r="N19" s="33">
        <f>N17-N18</f>
        <v>78572.210000000006</v>
      </c>
      <c r="O19" s="33">
        <f>O17-O18</f>
        <v>0</v>
      </c>
      <c r="P19" s="33">
        <f>ROUND(N19/M19,2)</f>
        <v>9243.7900000000009</v>
      </c>
      <c r="Q19" s="33">
        <f>O19/N19+1</f>
        <v>1</v>
      </c>
    </row>
    <row r="20" spans="1:18">
      <c r="A20" s="44"/>
      <c r="B20" s="44"/>
      <c r="C20" s="44"/>
      <c r="D20" s="44"/>
      <c r="E20" s="44"/>
      <c r="J20" s="41"/>
      <c r="K20" s="33"/>
      <c r="L20" s="33"/>
      <c r="M20" s="37"/>
      <c r="N20" s="37"/>
      <c r="O20" s="37"/>
      <c r="P20" s="33"/>
      <c r="Q20" s="33"/>
    </row>
    <row r="21" spans="1:18">
      <c r="A21" s="44"/>
      <c r="B21" s="44"/>
      <c r="C21" s="44"/>
      <c r="D21" s="44"/>
      <c r="E21" s="44"/>
      <c r="J21" s="45">
        <v>4</v>
      </c>
      <c r="K21" s="34" t="s">
        <v>127</v>
      </c>
      <c r="L21" s="37">
        <v>81071.19</v>
      </c>
      <c r="M21" s="37">
        <v>8.5</v>
      </c>
      <c r="N21" s="33">
        <f>L21-O21</f>
        <v>81071.19</v>
      </c>
      <c r="O21" s="37">
        <v>0</v>
      </c>
      <c r="P21" s="33"/>
      <c r="Q21" s="33"/>
    </row>
    <row r="22" spans="1:18">
      <c r="J22" s="34"/>
      <c r="K22" s="33" t="s">
        <v>126</v>
      </c>
      <c r="L22" s="33">
        <f>O22+N22</f>
        <v>0</v>
      </c>
      <c r="M22" s="37">
        <v>0</v>
      </c>
      <c r="N22" s="37">
        <v>0</v>
      </c>
      <c r="O22" s="37">
        <v>0</v>
      </c>
      <c r="P22" s="33">
        <f>IF(M22=0,0,ROUND(N22/M22,2))</f>
        <v>0</v>
      </c>
      <c r="Q22" s="33">
        <f>IF(N22=0,0,O22/N22+1)</f>
        <v>0</v>
      </c>
    </row>
    <row r="23" spans="1:18" ht="45.75" customHeight="1" thickBot="1">
      <c r="A23" s="483" t="s">
        <v>144</v>
      </c>
      <c r="B23" s="483"/>
      <c r="C23" s="483"/>
      <c r="D23" s="483"/>
      <c r="E23" s="483"/>
      <c r="F23" s="483"/>
      <c r="G23" s="483"/>
      <c r="J23" s="34"/>
      <c r="K23" s="33" t="s">
        <v>125</v>
      </c>
      <c r="L23" s="33">
        <f>L21-L22</f>
        <v>81071.19</v>
      </c>
      <c r="M23" s="33">
        <f>M21-M22</f>
        <v>8.5</v>
      </c>
      <c r="N23" s="33">
        <f>N21-N22</f>
        <v>81071.19</v>
      </c>
      <c r="O23" s="33">
        <f>O21-O22</f>
        <v>0</v>
      </c>
      <c r="P23" s="33">
        <f>ROUND(N23/M23,2)</f>
        <v>9537.7900000000009</v>
      </c>
      <c r="Q23" s="33">
        <f>O23/N23+1</f>
        <v>1</v>
      </c>
    </row>
    <row r="24" spans="1:18" ht="38.25">
      <c r="A24" s="226" t="s">
        <v>143</v>
      </c>
      <c r="B24" s="218" t="s">
        <v>142</v>
      </c>
      <c r="C24" s="218" t="s">
        <v>133</v>
      </c>
      <c r="D24" s="218" t="s">
        <v>111</v>
      </c>
      <c r="E24" s="219" t="s">
        <v>110</v>
      </c>
      <c r="J24" s="12" t="s">
        <v>141</v>
      </c>
    </row>
    <row r="25" spans="1:18">
      <c r="A25" s="22"/>
      <c r="B25" s="21"/>
      <c r="C25" s="21">
        <v>12</v>
      </c>
      <c r="D25" s="24"/>
      <c r="E25" s="24">
        <f>ROUND(D25*30.2%,0)</f>
        <v>0</v>
      </c>
      <c r="J25" s="33"/>
      <c r="K25" s="34"/>
      <c r="L25" s="33" t="s">
        <v>140</v>
      </c>
      <c r="M25" s="33" t="s">
        <v>139</v>
      </c>
      <c r="N25" s="33" t="s">
        <v>138</v>
      </c>
      <c r="O25" s="33" t="s">
        <v>137</v>
      </c>
      <c r="P25" s="33" t="s">
        <v>136</v>
      </c>
      <c r="Q25" s="33"/>
    </row>
    <row r="26" spans="1:18">
      <c r="A26" s="22"/>
      <c r="B26" s="21"/>
      <c r="C26" s="21"/>
      <c r="D26" s="24">
        <f>ROUND(A26*B26*C26,2)</f>
        <v>0</v>
      </c>
      <c r="E26" s="24">
        <f>ROUND(D26*30.2%,0)</f>
        <v>0</v>
      </c>
      <c r="J26" s="33">
        <v>1</v>
      </c>
      <c r="K26" s="34" t="s">
        <v>127</v>
      </c>
      <c r="L26" s="37">
        <v>1043175</v>
      </c>
      <c r="M26" s="37">
        <v>72.19</v>
      </c>
      <c r="N26" s="33">
        <f>L26-O26</f>
        <v>930432.69</v>
      </c>
      <c r="O26" s="37">
        <v>112742.31</v>
      </c>
      <c r="P26" s="37"/>
      <c r="Q26" s="33"/>
      <c r="R26" s="33"/>
    </row>
    <row r="27" spans="1:18">
      <c r="A27" s="22"/>
      <c r="B27" s="21"/>
      <c r="C27" s="21"/>
      <c r="D27" s="24">
        <f>ROUND(A27*B27*C27,2)</f>
        <v>0</v>
      </c>
      <c r="E27" s="24">
        <f>ROUND(D27*30.2%,0)</f>
        <v>0</v>
      </c>
      <c r="J27" s="33"/>
      <c r="K27" s="33" t="s">
        <v>126</v>
      </c>
      <c r="L27" s="33">
        <f>O27+N27</f>
        <v>658079.06999999995</v>
      </c>
      <c r="M27" s="37">
        <v>42.89</v>
      </c>
      <c r="N27" s="37">
        <v>560247.07999999996</v>
      </c>
      <c r="O27" s="37">
        <v>97831.99</v>
      </c>
      <c r="P27" s="37"/>
      <c r="Q27" s="33">
        <f>ROUND((N27+P27)/M27,2)</f>
        <v>13062.42</v>
      </c>
      <c r="R27" s="33">
        <f>(O27-P27)/(N27+P27)+1</f>
        <v>1.1746229360088767</v>
      </c>
    </row>
    <row r="28" spans="1:18">
      <c r="A28" s="22"/>
      <c r="B28" s="21"/>
      <c r="C28" s="21"/>
      <c r="D28" s="24">
        <f>ROUND(A28*B28*C28,2)</f>
        <v>0</v>
      </c>
      <c r="E28" s="24">
        <f>ROUND(D28*30.2%,0)</f>
        <v>0</v>
      </c>
      <c r="J28" s="33"/>
      <c r="K28" s="33" t="s">
        <v>125</v>
      </c>
      <c r="L28" s="33">
        <f>L26-L27</f>
        <v>385095.93000000005</v>
      </c>
      <c r="M28" s="33">
        <f>M26-M27</f>
        <v>29.299999999999997</v>
      </c>
      <c r="N28" s="33">
        <f>N26-N27</f>
        <v>370185.61</v>
      </c>
      <c r="O28" s="33">
        <f>O26-O27</f>
        <v>14910.319999999992</v>
      </c>
      <c r="P28" s="33">
        <f>P26-P27</f>
        <v>0</v>
      </c>
      <c r="Q28" s="33">
        <f>ROUND((N28+P28)/M28,2)</f>
        <v>12634.32</v>
      </c>
      <c r="R28" s="33">
        <f>(O28-P28)/(N28+P28)+1</f>
        <v>1.0402779567795732</v>
      </c>
    </row>
    <row r="29" spans="1:18" ht="13.5" thickBot="1">
      <c r="A29" s="20" t="s">
        <v>109</v>
      </c>
      <c r="B29" s="19"/>
      <c r="C29" s="19"/>
      <c r="D29" s="18">
        <f>D28+D26+D25+D27</f>
        <v>0</v>
      </c>
      <c r="E29" s="18">
        <f>E28+E26+E25+E27</f>
        <v>0</v>
      </c>
      <c r="J29" s="34"/>
      <c r="K29" s="33"/>
      <c r="L29" s="33"/>
      <c r="M29" s="33"/>
      <c r="N29" s="33"/>
      <c r="O29" s="33"/>
      <c r="P29" s="33"/>
      <c r="Q29" s="33"/>
      <c r="R29" s="33"/>
    </row>
    <row r="30" spans="1:18" ht="9" customHeight="1">
      <c r="A30" s="44"/>
      <c r="B30" s="44"/>
      <c r="C30" s="44"/>
      <c r="D30" s="43"/>
      <c r="E30" s="43"/>
      <c r="J30" s="34"/>
      <c r="K30" s="33"/>
      <c r="L30" s="33"/>
      <c r="M30" s="33"/>
      <c r="N30" s="33"/>
      <c r="O30" s="33"/>
      <c r="P30" s="33"/>
      <c r="Q30" s="33"/>
      <c r="R30" s="33"/>
    </row>
    <row r="31" spans="1:18" hidden="1">
      <c r="A31" s="44"/>
      <c r="B31" s="44"/>
      <c r="C31" s="44"/>
      <c r="D31" s="43"/>
      <c r="E31" s="43"/>
      <c r="J31" s="34"/>
      <c r="K31" s="33"/>
      <c r="L31" s="33"/>
      <c r="M31" s="33"/>
      <c r="N31" s="33"/>
      <c r="O31" s="33"/>
      <c r="P31" s="33"/>
      <c r="Q31" s="33"/>
      <c r="R31" s="33"/>
    </row>
    <row r="32" spans="1:18" hidden="1">
      <c r="A32" s="44"/>
      <c r="B32" s="44"/>
      <c r="C32" s="44"/>
      <c r="D32" s="43"/>
      <c r="E32" s="43"/>
      <c r="J32" s="34"/>
      <c r="K32" s="33"/>
      <c r="L32" s="33"/>
      <c r="M32" s="33"/>
      <c r="N32" s="33"/>
      <c r="O32" s="33"/>
      <c r="P32" s="33"/>
      <c r="Q32" s="33"/>
      <c r="R32" s="33"/>
    </row>
    <row r="33" spans="1:19" hidden="1">
      <c r="A33" s="44"/>
      <c r="B33" s="44"/>
      <c r="C33" s="44"/>
      <c r="D33" s="43"/>
      <c r="E33" s="43"/>
      <c r="J33" s="34"/>
      <c r="K33" s="33"/>
      <c r="L33" s="33"/>
      <c r="M33" s="33"/>
      <c r="N33" s="33"/>
      <c r="O33" s="33"/>
      <c r="P33" s="33"/>
      <c r="Q33" s="33"/>
      <c r="R33" s="33"/>
    </row>
    <row r="34" spans="1:19">
      <c r="A34" s="11"/>
      <c r="J34" s="34">
        <v>2</v>
      </c>
      <c r="K34" s="34" t="s">
        <v>127</v>
      </c>
      <c r="L34" s="42">
        <v>1104036</v>
      </c>
      <c r="M34" s="37">
        <v>74.63</v>
      </c>
      <c r="N34" s="33">
        <f>L34-O34</f>
        <v>1048119.68</v>
      </c>
      <c r="O34" s="42">
        <v>55916.32</v>
      </c>
      <c r="P34" s="37"/>
      <c r="Q34" s="33"/>
      <c r="R34" s="33"/>
      <c r="S34" s="38"/>
    </row>
    <row r="35" spans="1:19" ht="24" customHeight="1" thickBot="1">
      <c r="A35" s="503" t="s">
        <v>135</v>
      </c>
      <c r="B35" s="503"/>
      <c r="C35" s="503"/>
      <c r="D35" s="503"/>
      <c r="E35" s="503"/>
      <c r="F35" s="503"/>
      <c r="G35" s="503"/>
      <c r="J35" s="41"/>
      <c r="K35" s="33" t="s">
        <v>126</v>
      </c>
      <c r="L35" s="33">
        <f>O35+N35</f>
        <v>647706.12</v>
      </c>
      <c r="M35" s="37">
        <v>45.33</v>
      </c>
      <c r="N35" s="37">
        <v>591789.80000000005</v>
      </c>
      <c r="O35" s="42">
        <v>55916.32</v>
      </c>
      <c r="P35" s="37"/>
      <c r="Q35" s="33">
        <f>ROUND((N35+P35)/M35,2)</f>
        <v>13055.15</v>
      </c>
      <c r="R35" s="39">
        <f>(O35-P35)/(N35+P35)+1</f>
        <v>1.0944867924388018</v>
      </c>
    </row>
    <row r="36" spans="1:19" ht="38.25">
      <c r="A36" s="226" t="s">
        <v>134</v>
      </c>
      <c r="B36" s="218" t="s">
        <v>115</v>
      </c>
      <c r="C36" s="218" t="s">
        <v>114</v>
      </c>
      <c r="D36" s="218" t="s">
        <v>133</v>
      </c>
      <c r="E36" s="218" t="s">
        <v>112</v>
      </c>
      <c r="F36" s="218" t="s">
        <v>111</v>
      </c>
      <c r="G36" s="219" t="s">
        <v>110</v>
      </c>
      <c r="H36" s="35"/>
      <c r="J36" s="34"/>
      <c r="K36" s="33" t="s">
        <v>125</v>
      </c>
      <c r="L36" s="33">
        <f>L34-L35</f>
        <v>456329.88</v>
      </c>
      <c r="M36" s="33">
        <f>M34-M35</f>
        <v>29.299999999999997</v>
      </c>
      <c r="N36" s="33">
        <f>N34-N35</f>
        <v>456329.88</v>
      </c>
      <c r="O36" s="33">
        <f>O34-O35</f>
        <v>0</v>
      </c>
      <c r="P36" s="33">
        <f>P34-P35</f>
        <v>0</v>
      </c>
      <c r="Q36" s="33">
        <f>ROUND((N36+P36)/M36,2)</f>
        <v>15574.4</v>
      </c>
      <c r="R36" s="33">
        <f>(O36-P36)/(N36+P36)+1</f>
        <v>1</v>
      </c>
    </row>
    <row r="37" spans="1:19">
      <c r="A37" s="22">
        <f>M27</f>
        <v>42.89</v>
      </c>
      <c r="B37" s="21">
        <f>Q27</f>
        <v>13062.42</v>
      </c>
      <c r="C37" s="21">
        <f>R27</f>
        <v>1.1746229360088767</v>
      </c>
      <c r="D37" s="21">
        <v>8</v>
      </c>
      <c r="E37" s="21">
        <v>1</v>
      </c>
      <c r="F37" s="24">
        <f>ROUND((A37*B37*C37)*D37*E37,0)-1</f>
        <v>5264633</v>
      </c>
      <c r="G37" s="23">
        <f>ROUND(F37*30.2%,0)</f>
        <v>1589919</v>
      </c>
      <c r="H37" s="35"/>
      <c r="J37" s="34"/>
      <c r="K37" s="33"/>
      <c r="L37" s="33"/>
      <c r="M37" s="33"/>
      <c r="N37" s="33"/>
      <c r="O37" s="33"/>
      <c r="P37" s="33"/>
      <c r="Q37" s="33"/>
      <c r="R37" s="33"/>
    </row>
    <row r="38" spans="1:19">
      <c r="A38" s="22">
        <f>M35</f>
        <v>45.33</v>
      </c>
      <c r="B38" s="21">
        <f>Q35</f>
        <v>13055.15</v>
      </c>
      <c r="C38" s="40">
        <f>R35</f>
        <v>1.0944867924388018</v>
      </c>
      <c r="D38" s="21">
        <v>3</v>
      </c>
      <c r="E38" s="21">
        <v>1</v>
      </c>
      <c r="F38" s="24">
        <f>ROUND((A38*B38*C38)*D38*E38,0)</f>
        <v>1943119</v>
      </c>
      <c r="G38" s="23">
        <f>ROUND(F38*30.2%,0)</f>
        <v>586822</v>
      </c>
      <c r="H38" s="35"/>
      <c r="J38" s="34">
        <v>3</v>
      </c>
      <c r="K38" s="34" t="s">
        <v>127</v>
      </c>
      <c r="L38" s="42">
        <v>1115090</v>
      </c>
      <c r="M38" s="37">
        <v>74.63</v>
      </c>
      <c r="N38" s="33">
        <f>L38-O38</f>
        <v>996851.77</v>
      </c>
      <c r="O38" s="42">
        <v>118238.23</v>
      </c>
      <c r="P38" s="37"/>
      <c r="Q38" s="33"/>
      <c r="R38" s="33"/>
      <c r="S38" s="38">
        <f>L34-L38</f>
        <v>-11054</v>
      </c>
    </row>
    <row r="39" spans="1:19">
      <c r="A39" s="22">
        <f>M39</f>
        <v>45.33</v>
      </c>
      <c r="B39" s="21">
        <f>Q39</f>
        <v>15558.01</v>
      </c>
      <c r="C39" s="40">
        <f>R39</f>
        <v>1.1199236463274291</v>
      </c>
      <c r="D39" s="21">
        <v>1</v>
      </c>
      <c r="E39" s="21">
        <v>1</v>
      </c>
      <c r="F39" s="24">
        <f>ROUND((A39*B39*C39)*D39*E39,0)</f>
        <v>789820</v>
      </c>
      <c r="G39" s="23">
        <f>ROUND(F39*30.2%,0)</f>
        <v>238526</v>
      </c>
      <c r="H39" s="35"/>
      <c r="I39" s="35"/>
      <c r="J39" s="41"/>
      <c r="K39" s="33" t="s">
        <v>126</v>
      </c>
      <c r="L39" s="33">
        <f>O39+N39</f>
        <v>789819.88</v>
      </c>
      <c r="M39" s="37">
        <v>45.33</v>
      </c>
      <c r="N39" s="37">
        <v>705244.4</v>
      </c>
      <c r="O39" s="331">
        <v>84575.48</v>
      </c>
      <c r="P39" s="37"/>
      <c r="Q39" s="33">
        <f>ROUND((N39+P39)/M39,2)</f>
        <v>15558.01</v>
      </c>
      <c r="R39" s="39">
        <f>(O39-P39)/(N39+P39)+1</f>
        <v>1.1199236463274291</v>
      </c>
      <c r="S39" s="11">
        <f>ROUND(S38/1.35,2)</f>
        <v>-8188.15</v>
      </c>
    </row>
    <row r="40" spans="1:19">
      <c r="A40" s="22">
        <f>M45</f>
        <v>0</v>
      </c>
      <c r="B40" s="21"/>
      <c r="C40" s="40"/>
      <c r="D40" s="21">
        <v>1</v>
      </c>
      <c r="E40" s="21">
        <v>1</v>
      </c>
      <c r="F40" s="24">
        <f>ROUND((A40*B40*C40)*D40*E40,0)</f>
        <v>0</v>
      </c>
      <c r="G40" s="23">
        <f>ROUND(F40*30.2%,0)</f>
        <v>0</v>
      </c>
      <c r="H40" s="35"/>
      <c r="J40" s="34"/>
      <c r="K40" s="33" t="s">
        <v>125</v>
      </c>
      <c r="L40" s="33">
        <f>L38-L39</f>
        <v>325270.12</v>
      </c>
      <c r="M40" s="33">
        <f>M38-M39</f>
        <v>29.299999999999997</v>
      </c>
      <c r="N40" s="33">
        <f>N38-N39</f>
        <v>291607.37</v>
      </c>
      <c r="O40" s="33">
        <f>O38-O39</f>
        <v>33662.75</v>
      </c>
      <c r="P40" s="33">
        <f>P38-P39</f>
        <v>0</v>
      </c>
      <c r="Q40" s="33">
        <f>ROUND((N40+P40)/M40,2)</f>
        <v>9952.4699999999993</v>
      </c>
      <c r="R40" s="33">
        <f>(O40-P40)/(N40+P40)+1</f>
        <v>1.1154386118567579</v>
      </c>
    </row>
    <row r="41" spans="1:19" hidden="1">
      <c r="A41" s="22"/>
      <c r="B41" s="21"/>
      <c r="C41" s="21"/>
      <c r="D41" s="21"/>
      <c r="E41" s="21"/>
      <c r="F41" s="24">
        <f>ROUND((A41*B41*C41)*D41*E41,2)</f>
        <v>0</v>
      </c>
      <c r="G41" s="23">
        <f>ROUND(F41*30.2%,0)</f>
        <v>0</v>
      </c>
      <c r="H41" s="35"/>
      <c r="J41" s="34"/>
      <c r="K41" s="34"/>
      <c r="L41" s="34"/>
      <c r="M41" s="33"/>
      <c r="N41" s="33"/>
      <c r="O41" s="33"/>
      <c r="P41" s="33"/>
      <c r="Q41" s="33"/>
      <c r="R41" s="33"/>
    </row>
    <row r="42" spans="1:19" ht="13.5" thickBot="1">
      <c r="A42" s="20" t="s">
        <v>109</v>
      </c>
      <c r="B42" s="19"/>
      <c r="C42" s="19"/>
      <c r="D42" s="19"/>
      <c r="E42" s="19"/>
      <c r="F42" s="18">
        <f>SUM(F37:F41)</f>
        <v>7997572</v>
      </c>
      <c r="G42" s="17">
        <f>SUM(G37:G41)</f>
        <v>2415267</v>
      </c>
      <c r="H42" s="35"/>
      <c r="J42" s="34"/>
      <c r="K42" s="33"/>
      <c r="L42" s="33"/>
      <c r="M42" s="33"/>
      <c r="N42" s="33"/>
      <c r="O42" s="33"/>
      <c r="P42" s="33">
        <f>P40-P41</f>
        <v>0</v>
      </c>
      <c r="Q42" s="33"/>
      <c r="R42" s="33"/>
    </row>
    <row r="43" spans="1:19" ht="12" customHeight="1">
      <c r="H43" s="35"/>
      <c r="J43" s="34"/>
      <c r="K43" s="33"/>
      <c r="L43" s="33"/>
      <c r="M43" s="33"/>
      <c r="N43" s="33"/>
      <c r="O43" s="33"/>
      <c r="P43" s="33"/>
      <c r="Q43" s="33"/>
      <c r="R43" s="33"/>
      <c r="S43" s="38"/>
    </row>
    <row r="44" spans="1:19" ht="25.5" customHeight="1" thickBot="1">
      <c r="A44" s="506" t="s">
        <v>132</v>
      </c>
      <c r="B44" s="506"/>
      <c r="C44" s="506"/>
      <c r="D44" s="506"/>
      <c r="E44" s="506"/>
      <c r="F44" s="506"/>
      <c r="G44" s="506"/>
      <c r="J44" s="34">
        <v>4</v>
      </c>
      <c r="K44" s="34" t="s">
        <v>127</v>
      </c>
      <c r="L44" s="42"/>
      <c r="M44" s="37"/>
      <c r="N44" s="33">
        <f>L44-O44</f>
        <v>0</v>
      </c>
      <c r="O44" s="42"/>
      <c r="P44" s="37"/>
      <c r="Q44" s="33"/>
      <c r="R44" s="33"/>
    </row>
    <row r="45" spans="1:19">
      <c r="A45" s="228" t="s">
        <v>131</v>
      </c>
      <c r="B45" s="229" t="s">
        <v>130</v>
      </c>
      <c r="C45" s="218" t="s">
        <v>129</v>
      </c>
      <c r="D45" s="507" t="s">
        <v>128</v>
      </c>
      <c r="E45" s="508"/>
      <c r="G45" s="35"/>
      <c r="J45" s="34"/>
      <c r="K45" s="33" t="s">
        <v>126</v>
      </c>
      <c r="L45" s="33">
        <f>O45+N45</f>
        <v>0</v>
      </c>
      <c r="M45" s="37"/>
      <c r="N45" s="37"/>
      <c r="O45" s="331"/>
      <c r="P45" s="37"/>
      <c r="Q45" s="33"/>
      <c r="R45" s="39"/>
    </row>
    <row r="46" spans="1:19">
      <c r="A46" s="36">
        <v>226</v>
      </c>
      <c r="B46" s="31">
        <v>37.35</v>
      </c>
      <c r="C46" s="21">
        <f>ROUND(D46/B46,0)</f>
        <v>595</v>
      </c>
      <c r="D46" s="504">
        <f ca="1">'проверка 2017'!C10</f>
        <v>22222</v>
      </c>
      <c r="E46" s="505"/>
      <c r="F46" s="12" t="s">
        <v>263</v>
      </c>
      <c r="G46" s="35"/>
      <c r="J46" s="34"/>
      <c r="K46" s="33" t="s">
        <v>125</v>
      </c>
      <c r="L46" s="33">
        <f>L44-L45</f>
        <v>0</v>
      </c>
      <c r="M46" s="33">
        <f>M44-M45</f>
        <v>0</v>
      </c>
      <c r="N46" s="33">
        <f>N44-N45</f>
        <v>0</v>
      </c>
      <c r="O46" s="33">
        <f>O44-O45</f>
        <v>0</v>
      </c>
      <c r="P46" s="33">
        <f>P44-P45</f>
        <v>0</v>
      </c>
      <c r="Q46" s="33"/>
      <c r="R46" s="33"/>
    </row>
    <row r="47" spans="1:19">
      <c r="A47" s="36">
        <v>226</v>
      </c>
      <c r="B47" s="31">
        <f>ROUND(D47/C47,2)</f>
        <v>37.35</v>
      </c>
      <c r="C47" s="21">
        <f ca="1">свод!F6+5</f>
        <v>611</v>
      </c>
      <c r="D47" s="504">
        <f ca="1">'проверка 2017'!C11</f>
        <v>22820</v>
      </c>
      <c r="E47" s="505"/>
      <c r="G47" s="35"/>
      <c r="J47" s="11"/>
    </row>
    <row r="48" spans="1:19">
      <c r="A48" s="36">
        <v>221</v>
      </c>
      <c r="B48" s="31">
        <f>ROUND(D48/C48,2)</f>
        <v>184.25</v>
      </c>
      <c r="C48" s="21">
        <f ca="1">свод!F6+5</f>
        <v>611</v>
      </c>
      <c r="D48" s="504">
        <f ca="1">'проверка 2017'!C9</f>
        <v>112577</v>
      </c>
      <c r="E48" s="505"/>
      <c r="G48" s="35"/>
      <c r="J48" s="34"/>
      <c r="K48" s="34"/>
      <c r="L48" s="37"/>
      <c r="M48" s="37"/>
      <c r="N48" s="33"/>
      <c r="O48" s="37"/>
      <c r="P48" s="37"/>
      <c r="Q48" s="33"/>
      <c r="R48" s="33"/>
    </row>
    <row r="49" spans="1:18">
      <c r="A49" s="32">
        <v>310</v>
      </c>
      <c r="B49" s="31">
        <f>ROUND(D49/C49,2)</f>
        <v>263.01</v>
      </c>
      <c r="C49" s="21">
        <f ca="1">свод!F6+5</f>
        <v>611</v>
      </c>
      <c r="D49" s="504">
        <f ca="1">'проверка 2017'!C12</f>
        <v>160700</v>
      </c>
      <c r="E49" s="505"/>
      <c r="J49" s="34"/>
      <c r="K49" s="33"/>
      <c r="L49" s="33"/>
      <c r="M49" s="37"/>
      <c r="N49" s="37"/>
      <c r="O49" s="37"/>
      <c r="P49" s="37"/>
      <c r="Q49" s="33"/>
      <c r="R49" s="33"/>
    </row>
    <row r="50" spans="1:18" ht="15.75" customHeight="1" thickBot="1">
      <c r="A50" s="30">
        <v>340</v>
      </c>
      <c r="B50" s="347">
        <f>ROUND(D50/C50,2)</f>
        <v>49.39</v>
      </c>
      <c r="C50" s="19">
        <f ca="1">свод!F6+5</f>
        <v>611</v>
      </c>
      <c r="D50" s="497">
        <f ca="1">'проверка 2017'!C13</f>
        <v>30177</v>
      </c>
      <c r="E50" s="498"/>
      <c r="J50" s="34"/>
      <c r="K50" s="33"/>
      <c r="L50" s="33"/>
      <c r="M50" s="33"/>
      <c r="N50" s="33"/>
      <c r="O50" s="33"/>
      <c r="P50" s="33"/>
      <c r="Q50" s="33"/>
      <c r="R50" s="33"/>
    </row>
    <row r="51" spans="1:18" ht="12" customHeight="1">
      <c r="A51" s="66"/>
      <c r="B51" s="319"/>
      <c r="C51" s="44"/>
      <c r="D51" s="44"/>
      <c r="E51" s="44"/>
      <c r="J51" s="29"/>
      <c r="K51" s="28"/>
      <c r="L51" s="340"/>
      <c r="M51" s="28"/>
      <c r="N51" s="28"/>
      <c r="O51" s="28"/>
      <c r="P51" s="28"/>
      <c r="Q51" s="28"/>
      <c r="R51" s="28"/>
    </row>
    <row r="52" spans="1:18" ht="45" hidden="1" customHeight="1" thickBot="1">
      <c r="A52" s="486" t="s">
        <v>361</v>
      </c>
      <c r="B52" s="486"/>
      <c r="C52" s="486"/>
      <c r="D52" s="486"/>
      <c r="E52" s="486"/>
      <c r="F52" s="486"/>
      <c r="G52" s="486"/>
      <c r="J52" s="29"/>
      <c r="K52" s="28"/>
      <c r="L52" s="340"/>
      <c r="M52" s="28"/>
      <c r="N52" s="28"/>
      <c r="O52" s="28"/>
      <c r="P52" s="28"/>
      <c r="Q52" s="28"/>
      <c r="R52" s="28"/>
    </row>
    <row r="53" spans="1:18" ht="15.75" hidden="1" customHeight="1">
      <c r="A53" s="316" t="s">
        <v>131</v>
      </c>
      <c r="B53" s="499" t="s">
        <v>146</v>
      </c>
      <c r="C53" s="500"/>
      <c r="D53" s="501" t="s">
        <v>128</v>
      </c>
      <c r="E53" s="502"/>
      <c r="J53" s="29"/>
      <c r="K53" s="28"/>
      <c r="L53" s="28"/>
      <c r="M53" s="28"/>
      <c r="N53" s="28"/>
      <c r="O53" s="28"/>
      <c r="P53" s="28"/>
      <c r="Q53" s="28"/>
      <c r="R53" s="28"/>
    </row>
    <row r="54" spans="1:18" ht="15.75" hidden="1" customHeight="1">
      <c r="A54" s="317">
        <v>226</v>
      </c>
      <c r="B54" s="509">
        <f>IF(D54=0,0,ROUND(D54/('[1]проверка 2017'!H41+'[1]проверка 2017'!I41),2))</f>
        <v>0</v>
      </c>
      <c r="C54" s="510"/>
      <c r="D54" s="511"/>
      <c r="E54" s="512"/>
      <c r="J54" s="29"/>
      <c r="K54" s="28"/>
      <c r="L54" s="28"/>
      <c r="M54" s="28"/>
      <c r="N54" s="28"/>
      <c r="O54" s="28"/>
      <c r="P54" s="28"/>
      <c r="Q54" s="28"/>
      <c r="R54" s="28"/>
    </row>
    <row r="55" spans="1:18" ht="13.5" hidden="1" thickBot="1">
      <c r="A55" s="318">
        <v>340</v>
      </c>
      <c r="B55" s="484">
        <f>IF(D55=0,0,ROUND(D55/('[1]проверка 2017'!H41+'[1]проверка 2017'!I41),2))</f>
        <v>0</v>
      </c>
      <c r="C55" s="485"/>
      <c r="D55" s="481">
        <f ca="1">'проверка 2017'!C15-D98</f>
        <v>0</v>
      </c>
      <c r="E55" s="482"/>
      <c r="J55" s="29"/>
      <c r="K55" s="28"/>
      <c r="L55" s="28"/>
      <c r="M55" s="28"/>
      <c r="N55" s="28"/>
      <c r="O55" s="28"/>
      <c r="P55" s="28"/>
      <c r="Q55" s="28"/>
      <c r="R55" s="28"/>
    </row>
    <row r="56" spans="1:18" ht="15.75" hidden="1" customHeight="1">
      <c r="A56" s="66"/>
      <c r="B56" s="319"/>
      <c r="C56" s="44"/>
      <c r="D56" s="44"/>
      <c r="E56" s="44"/>
      <c r="J56" s="29"/>
      <c r="K56" s="28"/>
      <c r="L56" s="28"/>
      <c r="M56" s="28"/>
      <c r="N56" s="28"/>
      <c r="O56" s="28"/>
      <c r="P56" s="28"/>
      <c r="Q56" s="28"/>
      <c r="R56" s="28"/>
    </row>
    <row r="57" spans="1:18" hidden="1">
      <c r="J57" s="29"/>
      <c r="K57" s="28"/>
      <c r="L57" s="28"/>
      <c r="M57" s="28"/>
      <c r="N57" s="28"/>
      <c r="O57" s="28"/>
      <c r="P57" s="28"/>
      <c r="Q57" s="28"/>
      <c r="R57" s="28"/>
    </row>
    <row r="58" spans="1:18" hidden="1">
      <c r="J58" s="29"/>
      <c r="K58" s="28"/>
      <c r="L58" s="28"/>
      <c r="M58" s="243">
        <f ca="1">'проверка 2017'!C7-'пр.1+2 '!L58</f>
        <v>12772598</v>
      </c>
      <c r="N58" s="28"/>
      <c r="O58" s="28"/>
      <c r="P58" s="28"/>
      <c r="Q58" s="28"/>
      <c r="R58" s="28"/>
    </row>
    <row r="59" spans="1:18">
      <c r="A59" s="15" t="str">
        <f ca="1">свод!A119</f>
        <v>Директор МБОУ "Кадетская школа № 46 г. Пензы"</v>
      </c>
      <c r="B59" s="71"/>
      <c r="C59" s="215"/>
      <c r="D59" s="215"/>
      <c r="E59" s="16" t="str">
        <f ca="1">свод!E119</f>
        <v>В.А.Борисов</v>
      </c>
      <c r="F59" s="15"/>
      <c r="G59" s="13"/>
      <c r="J59" s="29"/>
      <c r="K59" s="28"/>
      <c r="L59" s="28"/>
      <c r="M59" s="28"/>
      <c r="N59" s="28"/>
      <c r="O59" s="28"/>
      <c r="P59" s="28"/>
      <c r="Q59" s="28"/>
      <c r="R59" s="28"/>
    </row>
    <row r="60" spans="1:18">
      <c r="A60" s="68"/>
      <c r="B60" s="68"/>
      <c r="C60" s="68"/>
      <c r="D60" s="68"/>
      <c r="E60" s="14"/>
      <c r="F60" s="11"/>
      <c r="G60" s="13"/>
    </row>
    <row r="61" spans="1:18">
      <c r="A61" s="11" t="str">
        <f ca="1">свод!A121</f>
        <v xml:space="preserve">Гл.бухгалтер  </v>
      </c>
      <c r="B61" s="68"/>
      <c r="C61" s="216"/>
      <c r="D61" s="216"/>
      <c r="E61" s="14" t="str">
        <f ca="1">свод!E121</f>
        <v>Н.Е.Нелюбова</v>
      </c>
      <c r="F61" s="11"/>
      <c r="G61" s="13"/>
    </row>
    <row r="62" spans="1:18" hidden="1">
      <c r="J62" s="35"/>
    </row>
    <row r="63" spans="1:18" hidden="1">
      <c r="A63" s="15"/>
      <c r="B63" s="15"/>
      <c r="C63" s="15"/>
      <c r="D63" s="15"/>
      <c r="E63" s="16"/>
    </row>
    <row r="64" spans="1:18" hidden="1">
      <c r="A64" s="15"/>
      <c r="B64" s="11"/>
      <c r="C64" s="11"/>
      <c r="D64" s="11"/>
      <c r="E64" s="14"/>
    </row>
    <row r="65" spans="1:10" hidden="1">
      <c r="A65" s="11"/>
      <c r="B65" s="11"/>
      <c r="C65" s="11"/>
      <c r="D65" s="11"/>
      <c r="E65" s="14"/>
    </row>
    <row r="66" spans="1:10">
      <c r="F66" s="479" t="s">
        <v>124</v>
      </c>
      <c r="G66" s="479"/>
    </row>
    <row r="67" spans="1:10" ht="37.5" customHeight="1">
      <c r="A67" s="480" t="s">
        <v>123</v>
      </c>
      <c r="B67" s="480"/>
      <c r="C67" s="480"/>
      <c r="D67" s="480"/>
      <c r="E67" s="480"/>
      <c r="F67" s="480"/>
      <c r="G67" s="480"/>
    </row>
    <row r="68" spans="1:10" ht="8.25" customHeight="1">
      <c r="A68" s="27"/>
      <c r="B68" s="27"/>
      <c r="C68" s="27"/>
      <c r="D68" s="27"/>
      <c r="E68" s="27"/>
      <c r="F68" s="27"/>
      <c r="G68" s="27"/>
    </row>
    <row r="69" spans="1:10" ht="49.5" customHeight="1" thickBot="1">
      <c r="A69" s="483" t="s">
        <v>122</v>
      </c>
      <c r="B69" s="483"/>
      <c r="C69" s="483"/>
      <c r="D69" s="483"/>
      <c r="E69" s="483"/>
      <c r="F69" s="483"/>
      <c r="G69" s="483"/>
    </row>
    <row r="70" spans="1:10" ht="38.25">
      <c r="A70" s="226" t="s">
        <v>116</v>
      </c>
      <c r="B70" s="218" t="s">
        <v>115</v>
      </c>
      <c r="C70" s="218" t="s">
        <v>114</v>
      </c>
      <c r="D70" s="218" t="s">
        <v>113</v>
      </c>
      <c r="E70" s="218" t="s">
        <v>112</v>
      </c>
      <c r="F70" s="218" t="s">
        <v>111</v>
      </c>
      <c r="G70" s="219" t="s">
        <v>110</v>
      </c>
    </row>
    <row r="71" spans="1:10">
      <c r="A71" s="22">
        <f>M11</f>
        <v>8.5</v>
      </c>
      <c r="B71" s="21">
        <f>P11</f>
        <v>8310.09</v>
      </c>
      <c r="C71" s="21">
        <f>Q11</f>
        <v>1</v>
      </c>
      <c r="D71" s="21">
        <v>6</v>
      </c>
      <c r="E71" s="21">
        <v>1</v>
      </c>
      <c r="F71" s="31">
        <f>ROUND((A71*B71*C71)*D71,0)-1</f>
        <v>423814</v>
      </c>
      <c r="G71" s="348">
        <f>ROUND(F71*30.2%,0)</f>
        <v>127992</v>
      </c>
    </row>
    <row r="72" spans="1:10">
      <c r="A72" s="22">
        <f>M15</f>
        <v>8.5</v>
      </c>
      <c r="B72" s="21">
        <f>P15</f>
        <v>8964.27</v>
      </c>
      <c r="C72" s="21">
        <f>Q15</f>
        <v>1</v>
      </c>
      <c r="D72" s="21">
        <v>2</v>
      </c>
      <c r="E72" s="21">
        <v>1</v>
      </c>
      <c r="F72" s="31">
        <f>ROUND((A72*B72*C72)*D72,0)</f>
        <v>152393</v>
      </c>
      <c r="G72" s="348">
        <f>ROUND(F72*30.2%,0)-379.87+1</f>
        <v>45644.13</v>
      </c>
    </row>
    <row r="73" spans="1:10">
      <c r="A73" s="22">
        <f>M23</f>
        <v>8.5</v>
      </c>
      <c r="B73" s="21">
        <f>P19</f>
        <v>9243.7900000000009</v>
      </c>
      <c r="C73" s="21">
        <f>Q23</f>
        <v>1</v>
      </c>
      <c r="D73" s="21">
        <v>3</v>
      </c>
      <c r="E73" s="21">
        <v>1</v>
      </c>
      <c r="F73" s="31">
        <f>ROUND((A73*B73*C73)*D73,0)</f>
        <v>235717</v>
      </c>
      <c r="G73" s="348">
        <f>ROUND(F73*30.2%,0)</f>
        <v>71187</v>
      </c>
    </row>
    <row r="74" spans="1:10">
      <c r="A74" s="22">
        <v>8.5</v>
      </c>
      <c r="B74" s="21">
        <f>P23</f>
        <v>9537.7900000000009</v>
      </c>
      <c r="C74" s="21">
        <v>1</v>
      </c>
      <c r="D74" s="21">
        <v>1</v>
      </c>
      <c r="E74" s="21">
        <v>1</v>
      </c>
      <c r="F74" s="31">
        <f>ROUND((A74*B74*C74)*D74,0)</f>
        <v>81071</v>
      </c>
      <c r="G74" s="348">
        <f>ROUND(F74*30.2%,0)</f>
        <v>24483</v>
      </c>
    </row>
    <row r="75" spans="1:10" ht="13.5" thickBot="1">
      <c r="A75" s="20" t="s">
        <v>109</v>
      </c>
      <c r="B75" s="19"/>
      <c r="C75" s="19"/>
      <c r="D75" s="19"/>
      <c r="E75" s="19"/>
      <c r="F75" s="347">
        <f>SUM(F71:F74)</f>
        <v>892995</v>
      </c>
      <c r="G75" s="349">
        <f>SUM(G71:G74)</f>
        <v>269306.13</v>
      </c>
    </row>
    <row r="76" spans="1:10" ht="13.5" thickBot="1"/>
    <row r="77" spans="1:10" ht="102">
      <c r="A77" s="226" t="s">
        <v>121</v>
      </c>
      <c r="B77" s="218" t="s">
        <v>120</v>
      </c>
      <c r="C77" s="218" t="s">
        <v>113</v>
      </c>
      <c r="D77" s="219" t="s">
        <v>119</v>
      </c>
      <c r="G77" s="12" t="s">
        <v>118</v>
      </c>
    </row>
    <row r="78" spans="1:10" ht="13.5" thickBot="1">
      <c r="A78" s="20">
        <v>50</v>
      </c>
      <c r="B78" s="179">
        <v>5</v>
      </c>
      <c r="C78" s="19">
        <v>10.8</v>
      </c>
      <c r="D78" s="26">
        <f>A78*B78*C78-6.46</f>
        <v>2693.54</v>
      </c>
    </row>
    <row r="80" spans="1:10" s="336" customFormat="1" ht="45.75" customHeight="1" thickBot="1">
      <c r="A80" s="486" t="s">
        <v>362</v>
      </c>
      <c r="B80" s="486"/>
      <c r="C80" s="486"/>
      <c r="D80" s="486"/>
      <c r="E80" s="486"/>
      <c r="F80" s="486"/>
      <c r="G80" s="486"/>
      <c r="H80" s="335"/>
      <c r="I80" s="335"/>
      <c r="J80" s="335"/>
    </row>
    <row r="81" spans="1:11" s="336" customFormat="1" ht="15">
      <c r="A81" s="337" t="s">
        <v>131</v>
      </c>
      <c r="B81" s="487" t="s">
        <v>146</v>
      </c>
      <c r="C81" s="488"/>
      <c r="D81" s="489" t="s">
        <v>128</v>
      </c>
      <c r="E81" s="490"/>
      <c r="F81" s="335"/>
      <c r="G81" s="335"/>
      <c r="H81" s="335"/>
      <c r="I81" s="335"/>
      <c r="J81" s="335"/>
    </row>
    <row r="82" spans="1:11" s="336" customFormat="1">
      <c r="A82" s="338">
        <v>226</v>
      </c>
      <c r="B82" s="491">
        <f ca="1">IF(D82=0,0,ROUND(D82/('проверка 2017'!I4+'проверка 2017'!J4+'проверка 2017'!K4+'проверка 2017'!L4+'проверка 2017'!M4+'проверка 2017'!N4+'проверка 2017'!O4),2))</f>
        <v>0</v>
      </c>
      <c r="C82" s="492"/>
      <c r="D82" s="493">
        <f ca="1">'проверка 2017'!C30</f>
        <v>0</v>
      </c>
      <c r="E82" s="494"/>
      <c r="F82" s="335"/>
      <c r="G82" s="335"/>
      <c r="H82" s="335"/>
      <c r="I82" s="335"/>
      <c r="J82" s="335"/>
    </row>
    <row r="83" spans="1:11" s="336" customFormat="1" ht="13.5" thickBot="1">
      <c r="A83" s="339">
        <v>340</v>
      </c>
      <c r="B83" s="484">
        <f ca="1">IF(D83=0,0,ROUND(D83/('[1]проверка 2017'!H17+'[1]проверка 2017'!I17),2))</f>
        <v>0.04</v>
      </c>
      <c r="C83" s="485"/>
      <c r="D83" s="495">
        <f ca="1">'проверка 2017'!C31</f>
        <v>379.87</v>
      </c>
      <c r="E83" s="496"/>
      <c r="F83" s="335"/>
      <c r="G83" s="335"/>
      <c r="H83" s="335"/>
      <c r="I83" s="335"/>
      <c r="J83" s="335"/>
    </row>
    <row r="84" spans="1:11">
      <c r="K84" s="12"/>
    </row>
    <row r="85" spans="1:11" ht="55.5" customHeight="1" thickBot="1">
      <c r="A85" s="483" t="s">
        <v>117</v>
      </c>
      <c r="B85" s="483"/>
      <c r="C85" s="483"/>
      <c r="D85" s="483"/>
      <c r="E85" s="483"/>
      <c r="F85" s="483"/>
      <c r="G85" s="483"/>
      <c r="K85" s="12"/>
    </row>
    <row r="86" spans="1:11" ht="38.25">
      <c r="A86" s="226" t="s">
        <v>116</v>
      </c>
      <c r="B86" s="218" t="s">
        <v>115</v>
      </c>
      <c r="C86" s="218" t="s">
        <v>114</v>
      </c>
      <c r="D86" s="218" t="s">
        <v>113</v>
      </c>
      <c r="E86" s="218" t="s">
        <v>112</v>
      </c>
      <c r="F86" s="218" t="s">
        <v>111</v>
      </c>
      <c r="G86" s="219" t="s">
        <v>110</v>
      </c>
      <c r="K86" s="12"/>
    </row>
    <row r="87" spans="1:11">
      <c r="A87" s="22">
        <f>M28</f>
        <v>29.299999999999997</v>
      </c>
      <c r="B87" s="21">
        <f>Q28</f>
        <v>12634.32</v>
      </c>
      <c r="C87" s="21">
        <f>R28</f>
        <v>1.0402779567795732</v>
      </c>
      <c r="D87" s="21">
        <v>8</v>
      </c>
      <c r="E87" s="21">
        <v>1</v>
      </c>
      <c r="F87" s="24">
        <f>ROUND((A87*B87*C87)*D87*E87,0)-1</f>
        <v>3080766</v>
      </c>
      <c r="G87" s="23">
        <f>ROUND(F87*30.2%,0)+1</f>
        <v>930392</v>
      </c>
    </row>
    <row r="88" spans="1:11">
      <c r="A88" s="22">
        <f>M36</f>
        <v>29.299999999999997</v>
      </c>
      <c r="B88" s="21">
        <f>Q36</f>
        <v>15574.4</v>
      </c>
      <c r="C88" s="21">
        <f>R36</f>
        <v>1</v>
      </c>
      <c r="D88" s="21">
        <v>3</v>
      </c>
      <c r="E88" s="21">
        <v>1</v>
      </c>
      <c r="F88" s="24">
        <f>ROUND((A88*B88*C88)*D88*E88,0)</f>
        <v>1368990</v>
      </c>
      <c r="G88" s="23">
        <f>ROUND(F88*30.2%,0)-8101.13+1</f>
        <v>405334.87</v>
      </c>
    </row>
    <row r="89" spans="1:11">
      <c r="A89" s="22">
        <f>M40</f>
        <v>29.299999999999997</v>
      </c>
      <c r="B89" s="21">
        <f>Q40</f>
        <v>9952.4699999999993</v>
      </c>
      <c r="C89" s="21">
        <f>R40</f>
        <v>1.1154386118567579</v>
      </c>
      <c r="D89" s="21">
        <v>1</v>
      </c>
      <c r="E89" s="21">
        <v>1</v>
      </c>
      <c r="F89" s="24">
        <f>ROUND((A89*B89*C89)*D89*E89,0)</f>
        <v>325270</v>
      </c>
      <c r="G89" s="23">
        <f>ROUND(F89*30.2%,0)-14398</f>
        <v>83834</v>
      </c>
    </row>
    <row r="90" spans="1:11" hidden="1">
      <c r="A90" s="22">
        <f>M46</f>
        <v>0</v>
      </c>
      <c r="B90" s="21">
        <f>Q46</f>
        <v>0</v>
      </c>
      <c r="C90" s="40">
        <f>R46</f>
        <v>0</v>
      </c>
      <c r="D90" s="21"/>
      <c r="E90" s="21">
        <v>1</v>
      </c>
      <c r="F90" s="24">
        <f>ROUND((A90*B90*C90)*D90*E90,0)</f>
        <v>0</v>
      </c>
      <c r="G90" s="23">
        <f>ROUND(F90*30.2%,0)</f>
        <v>0</v>
      </c>
    </row>
    <row r="91" spans="1:11" hidden="1">
      <c r="A91" s="22">
        <f>M50</f>
        <v>0</v>
      </c>
      <c r="B91" s="21"/>
      <c r="C91" s="21">
        <f>R50</f>
        <v>0</v>
      </c>
      <c r="D91" s="21"/>
      <c r="E91" s="21"/>
      <c r="F91" s="21"/>
      <c r="G91" s="23">
        <f>ROUND(F91*30.2%,0)</f>
        <v>0</v>
      </c>
    </row>
    <row r="92" spans="1:11" hidden="1">
      <c r="A92" s="22">
        <f>M45</f>
        <v>0</v>
      </c>
      <c r="B92" s="21"/>
      <c r="C92" s="40"/>
      <c r="D92" s="21"/>
      <c r="E92" s="21"/>
      <c r="F92" s="24">
        <f>ROUND((A92*B92*C92)*D92*E92,0)</f>
        <v>0</v>
      </c>
      <c r="G92" s="23">
        <f>ROUND(F92*30.2%,0)</f>
        <v>0</v>
      </c>
    </row>
    <row r="93" spans="1:11" ht="13.5" thickBot="1">
      <c r="A93" s="20" t="s">
        <v>109</v>
      </c>
      <c r="B93" s="19"/>
      <c r="C93" s="19"/>
      <c r="D93" s="19"/>
      <c r="E93" s="19"/>
      <c r="F93" s="18">
        <f>SUM(F87:F92)</f>
        <v>4775026</v>
      </c>
      <c r="G93" s="17">
        <f>SUM(G87:G92)</f>
        <v>1419560.87</v>
      </c>
    </row>
    <row r="94" spans="1:11">
      <c r="F94" s="341"/>
      <c r="G94" s="341"/>
    </row>
    <row r="95" spans="1:11" s="336" customFormat="1" ht="42.75" customHeight="1" thickBot="1">
      <c r="A95" s="486" t="s">
        <v>361</v>
      </c>
      <c r="B95" s="486"/>
      <c r="C95" s="486"/>
      <c r="D95" s="486"/>
      <c r="E95" s="486"/>
      <c r="F95" s="486"/>
      <c r="G95" s="486"/>
      <c r="H95" s="335"/>
      <c r="I95" s="335"/>
      <c r="J95" s="335"/>
    </row>
    <row r="96" spans="1:11" s="336" customFormat="1" ht="15">
      <c r="A96" s="337" t="s">
        <v>131</v>
      </c>
      <c r="B96" s="487" t="s">
        <v>146</v>
      </c>
      <c r="C96" s="488"/>
      <c r="D96" s="489" t="s">
        <v>128</v>
      </c>
      <c r="E96" s="490"/>
      <c r="F96" s="335"/>
      <c r="G96" s="335"/>
      <c r="H96" s="335"/>
      <c r="I96" s="335"/>
      <c r="J96" s="335"/>
    </row>
    <row r="97" spans="1:10" s="336" customFormat="1">
      <c r="A97" s="338">
        <v>226</v>
      </c>
      <c r="B97" s="491">
        <f ca="1">IF(D97=0,0,ROUND(D97/('проверка 2017'!I4+'проверка 2017'!J4+'проверка 2017'!K4+'проверка 2017'!L4+'проверка 2017'!M4+'проверка 2017'!N4+'проверка 2017'!O4),2))</f>
        <v>0</v>
      </c>
      <c r="C97" s="492"/>
      <c r="D97" s="493">
        <f ca="1">'проверка 2017'!C14</f>
        <v>0</v>
      </c>
      <c r="E97" s="494"/>
      <c r="F97" s="335"/>
      <c r="G97" s="335"/>
      <c r="H97" s="335"/>
      <c r="I97" s="335"/>
      <c r="J97" s="335"/>
    </row>
    <row r="98" spans="1:10" s="336" customFormat="1" ht="13.5" thickBot="1">
      <c r="A98" s="339">
        <v>340</v>
      </c>
      <c r="B98" s="484">
        <f ca="1">IF(D98=0,0,ROUND(D98/('проверка 2017'!I4+'проверка 2017'!J4+'проверка 2017'!K4+'проверка 2017'!L4+'проверка 2017'!M4+'проверка 2017'!N4+'проверка 2017'!O4),2))</f>
        <v>13.37</v>
      </c>
      <c r="C98" s="485"/>
      <c r="D98" s="495">
        <f ca="1">'проверка 2017'!C15</f>
        <v>8101.13</v>
      </c>
      <c r="E98" s="496"/>
      <c r="F98" s="335"/>
      <c r="G98" s="335"/>
      <c r="H98" s="335"/>
      <c r="I98" s="335"/>
      <c r="J98" s="335"/>
    </row>
    <row r="101" spans="1:10">
      <c r="A101" s="15" t="str">
        <f ca="1">свод!A119</f>
        <v>Директор МБОУ "Кадетская школа № 46 г. Пензы"</v>
      </c>
      <c r="B101" s="71"/>
      <c r="C101" s="215"/>
      <c r="D101" s="215"/>
      <c r="E101" s="16" t="str">
        <f ca="1">свод!E119</f>
        <v>В.А.Борисов</v>
      </c>
      <c r="F101" s="15"/>
      <c r="G101" s="13"/>
    </row>
    <row r="102" spans="1:10">
      <c r="A102" s="68"/>
      <c r="B102" s="68"/>
      <c r="C102" s="68"/>
      <c r="D102" s="68"/>
      <c r="E102" s="14"/>
      <c r="F102" s="11"/>
      <c r="G102" s="13"/>
    </row>
    <row r="103" spans="1:10">
      <c r="A103" s="11" t="str">
        <f ca="1">свод!A121</f>
        <v xml:space="preserve">Гл.бухгалтер  </v>
      </c>
      <c r="B103" s="68"/>
      <c r="C103" s="216"/>
      <c r="D103" s="216"/>
      <c r="E103" s="14" t="str">
        <f ca="1">свод!E121</f>
        <v>Н.Е.Нелюбова</v>
      </c>
      <c r="F103" s="11"/>
      <c r="G103" s="13"/>
    </row>
    <row r="104" spans="1:10">
      <c r="J104" s="35"/>
    </row>
  </sheetData>
  <mergeCells count="44">
    <mergeCell ref="F1:G1"/>
    <mergeCell ref="A2:G2"/>
    <mergeCell ref="F3:G3"/>
    <mergeCell ref="A4:G4"/>
    <mergeCell ref="D49:E49"/>
    <mergeCell ref="B98:C98"/>
    <mergeCell ref="D98:E98"/>
    <mergeCell ref="A95:G95"/>
    <mergeCell ref="B96:C96"/>
    <mergeCell ref="D96:E96"/>
    <mergeCell ref="B97:C97"/>
    <mergeCell ref="D97:E97"/>
    <mergeCell ref="A11:G11"/>
    <mergeCell ref="D17:E17"/>
    <mergeCell ref="D18:E18"/>
    <mergeCell ref="D13:E13"/>
    <mergeCell ref="D14:E14"/>
    <mergeCell ref="D12:E12"/>
    <mergeCell ref="A23:G23"/>
    <mergeCell ref="A35:G35"/>
    <mergeCell ref="D46:E46"/>
    <mergeCell ref="D48:E48"/>
    <mergeCell ref="A44:G44"/>
    <mergeCell ref="D45:E45"/>
    <mergeCell ref="D47:E47"/>
    <mergeCell ref="D82:E82"/>
    <mergeCell ref="B83:C83"/>
    <mergeCell ref="D83:E83"/>
    <mergeCell ref="D50:E50"/>
    <mergeCell ref="A52:G52"/>
    <mergeCell ref="B53:C53"/>
    <mergeCell ref="D53:E53"/>
    <mergeCell ref="B54:C54"/>
    <mergeCell ref="D54:E54"/>
    <mergeCell ref="F66:G66"/>
    <mergeCell ref="A67:G67"/>
    <mergeCell ref="D55:E55"/>
    <mergeCell ref="A69:G69"/>
    <mergeCell ref="B55:C55"/>
    <mergeCell ref="A85:G85"/>
    <mergeCell ref="A80:G80"/>
    <mergeCell ref="B81:C81"/>
    <mergeCell ref="D81:E81"/>
    <mergeCell ref="B82:C82"/>
  </mergeCells>
  <phoneticPr fontId="0" type="noConversion"/>
  <pageMargins left="0.59055118110236227" right="0" top="0.74803149606299213" bottom="0.74803149606299213" header="0.31496062992125984" footer="0.31496062992125984"/>
  <pageSetup paperSize="9" orientation="portrait" r:id="rId1"/>
  <rowBreaks count="1" manualBreakCount="1">
    <brk id="6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82"/>
  <sheetViews>
    <sheetView workbookViewId="0">
      <selection activeCell="I45" sqref="I45"/>
    </sheetView>
  </sheetViews>
  <sheetFormatPr defaultRowHeight="12.75"/>
  <cols>
    <col min="1" max="1" width="23.42578125" style="11" customWidth="1"/>
    <col min="2" max="2" width="16.85546875" style="11" customWidth="1"/>
    <col min="3" max="4" width="12.85546875" style="11" customWidth="1"/>
    <col min="5" max="5" width="13" style="11" customWidth="1"/>
    <col min="6" max="6" width="11.7109375" style="11" customWidth="1"/>
    <col min="7" max="7" width="10.42578125" style="13" customWidth="1"/>
    <col min="8" max="16384" width="9.140625" style="11"/>
  </cols>
  <sheetData>
    <row r="1" spans="1:7">
      <c r="E1" s="523" t="s">
        <v>173</v>
      </c>
      <c r="F1" s="523"/>
    </row>
    <row r="2" spans="1:7" ht="13.5" thickBot="1">
      <c r="A2" s="524" t="s">
        <v>172</v>
      </c>
      <c r="B2" s="524"/>
      <c r="C2" s="524"/>
      <c r="D2" s="524"/>
      <c r="E2" s="524"/>
      <c r="F2" s="524"/>
    </row>
    <row r="3" spans="1:7" s="66" customFormat="1" ht="13.5" hidden="1" thickBot="1">
      <c r="A3" s="65"/>
      <c r="B3" s="65"/>
      <c r="C3" s="65"/>
      <c r="D3" s="65"/>
      <c r="E3" s="65"/>
      <c r="F3" s="65"/>
      <c r="G3" s="350"/>
    </row>
    <row r="4" spans="1:7" ht="13.5" hidden="1" thickBot="1">
      <c r="A4" s="65"/>
      <c r="B4" s="65"/>
      <c r="C4" s="65"/>
      <c r="D4" s="65"/>
      <c r="E4" s="65"/>
      <c r="F4" s="65"/>
      <c r="G4" s="49"/>
    </row>
    <row r="5" spans="1:7" s="12" customFormat="1" ht="24">
      <c r="A5" s="233"/>
      <c r="B5" s="234" t="s">
        <v>161</v>
      </c>
      <c r="C5" s="234" t="s">
        <v>160</v>
      </c>
      <c r="D5" s="234" t="s">
        <v>113</v>
      </c>
      <c r="E5" s="234" t="s">
        <v>112</v>
      </c>
      <c r="F5" s="235" t="s">
        <v>159</v>
      </c>
      <c r="G5" s="351"/>
    </row>
    <row r="6" spans="1:7">
      <c r="A6" s="208" t="s">
        <v>294</v>
      </c>
      <c r="B6" s="363">
        <v>8430.2999999999993</v>
      </c>
      <c r="C6" s="363">
        <v>1</v>
      </c>
      <c r="D6" s="363">
        <v>12</v>
      </c>
      <c r="E6" s="363">
        <v>1</v>
      </c>
      <c r="F6" s="232">
        <f>ROUND(B6*C6*D6*E6,2)</f>
        <v>101163.6</v>
      </c>
      <c r="G6" s="49"/>
    </row>
    <row r="7" spans="1:7" hidden="1">
      <c r="A7" s="208" t="s">
        <v>171</v>
      </c>
      <c r="B7" s="363"/>
      <c r="C7" s="363"/>
      <c r="D7" s="363"/>
      <c r="E7" s="363">
        <v>1</v>
      </c>
      <c r="F7" s="232">
        <f>ROUND(B7*C7*D7*E7,2)</f>
        <v>0</v>
      </c>
      <c r="G7" s="49"/>
    </row>
    <row r="8" spans="1:7" hidden="1">
      <c r="A8" s="208" t="s">
        <v>171</v>
      </c>
      <c r="B8" s="363"/>
      <c r="C8" s="363"/>
      <c r="D8" s="363"/>
      <c r="E8" s="363">
        <v>1</v>
      </c>
      <c r="F8" s="232">
        <f>ROUND(B8*C8*D8*E8,2)</f>
        <v>0</v>
      </c>
      <c r="G8" s="49"/>
    </row>
    <row r="9" spans="1:7">
      <c r="A9" s="208" t="s">
        <v>295</v>
      </c>
      <c r="B9" s="363">
        <v>256.85000000000002</v>
      </c>
      <c r="C9" s="363">
        <v>1</v>
      </c>
      <c r="D9" s="363">
        <v>12</v>
      </c>
      <c r="E9" s="363">
        <v>1</v>
      </c>
      <c r="F9" s="232">
        <f>ROUND(B9*C9*D9*E9,2)</f>
        <v>3082.2</v>
      </c>
      <c r="G9" s="49"/>
    </row>
    <row r="10" spans="1:7">
      <c r="A10" s="208" t="s">
        <v>296</v>
      </c>
      <c r="B10" s="363">
        <v>1320</v>
      </c>
      <c r="C10" s="363">
        <v>1</v>
      </c>
      <c r="D10" s="363">
        <v>12</v>
      </c>
      <c r="E10" s="363">
        <v>1</v>
      </c>
      <c r="F10" s="232">
        <f>ROUND(B10*C10*D10*E10,2)</f>
        <v>15840</v>
      </c>
      <c r="G10" s="49"/>
    </row>
    <row r="11" spans="1:7">
      <c r="A11" s="208" t="s">
        <v>395</v>
      </c>
      <c r="B11" s="363">
        <v>79593.67</v>
      </c>
      <c r="C11" s="363">
        <v>1</v>
      </c>
      <c r="D11" s="363">
        <v>1</v>
      </c>
      <c r="E11" s="363">
        <v>1</v>
      </c>
      <c r="F11" s="232">
        <f t="shared" ref="F11:F29" si="0">ROUND(B11*C11*D11*E11,2)</f>
        <v>79593.67</v>
      </c>
      <c r="G11" s="49"/>
    </row>
    <row r="12" spans="1:7" ht="24">
      <c r="A12" s="208" t="s">
        <v>297</v>
      </c>
      <c r="B12" s="363">
        <v>2684</v>
      </c>
      <c r="C12" s="363">
        <v>1</v>
      </c>
      <c r="D12" s="363">
        <v>12</v>
      </c>
      <c r="E12" s="363">
        <v>1</v>
      </c>
      <c r="F12" s="232">
        <f t="shared" si="0"/>
        <v>32208</v>
      </c>
      <c r="G12" s="49"/>
    </row>
    <row r="13" spans="1:7">
      <c r="A13" s="208" t="s">
        <v>271</v>
      </c>
      <c r="B13" s="363">
        <v>1500</v>
      </c>
      <c r="C13" s="363">
        <v>1</v>
      </c>
      <c r="D13" s="363">
        <v>12</v>
      </c>
      <c r="E13" s="363">
        <v>1</v>
      </c>
      <c r="F13" s="232">
        <f t="shared" si="0"/>
        <v>18000</v>
      </c>
      <c r="G13" s="49"/>
    </row>
    <row r="14" spans="1:7">
      <c r="A14" s="208" t="s">
        <v>365</v>
      </c>
      <c r="B14" s="363">
        <v>76804.08</v>
      </c>
      <c r="C14" s="363">
        <v>1</v>
      </c>
      <c r="D14" s="363">
        <v>1</v>
      </c>
      <c r="E14" s="363">
        <v>1</v>
      </c>
      <c r="F14" s="232">
        <f t="shared" si="0"/>
        <v>76804.08</v>
      </c>
      <c r="G14" s="49"/>
    </row>
    <row r="15" spans="1:7" ht="24">
      <c r="A15" s="208" t="s">
        <v>169</v>
      </c>
      <c r="B15" s="363">
        <v>19100</v>
      </c>
      <c r="C15" s="363">
        <v>1</v>
      </c>
      <c r="D15" s="363">
        <v>1</v>
      </c>
      <c r="E15" s="363">
        <v>1</v>
      </c>
      <c r="F15" s="232">
        <f t="shared" si="0"/>
        <v>19100</v>
      </c>
      <c r="G15" s="49"/>
    </row>
    <row r="16" spans="1:7">
      <c r="A16" s="208" t="s">
        <v>168</v>
      </c>
      <c r="B16" s="363">
        <v>1065.8</v>
      </c>
      <c r="C16" s="363">
        <v>1</v>
      </c>
      <c r="D16" s="363">
        <v>12</v>
      </c>
      <c r="E16" s="363">
        <v>1</v>
      </c>
      <c r="F16" s="232">
        <f t="shared" si="0"/>
        <v>12789.6</v>
      </c>
      <c r="G16" s="49"/>
    </row>
    <row r="17" spans="1:7" hidden="1">
      <c r="A17" s="208" t="s">
        <v>167</v>
      </c>
      <c r="B17" s="363"/>
      <c r="C17" s="363"/>
      <c r="D17" s="363"/>
      <c r="E17" s="363">
        <v>1</v>
      </c>
      <c r="F17" s="232">
        <f t="shared" si="0"/>
        <v>0</v>
      </c>
      <c r="G17" s="49"/>
    </row>
    <row r="18" spans="1:7">
      <c r="A18" s="208" t="s">
        <v>298</v>
      </c>
      <c r="B18" s="363">
        <v>4000</v>
      </c>
      <c r="C18" s="363">
        <v>1</v>
      </c>
      <c r="D18" s="363">
        <v>1</v>
      </c>
      <c r="E18" s="363">
        <v>1</v>
      </c>
      <c r="F18" s="232">
        <f t="shared" si="0"/>
        <v>4000</v>
      </c>
      <c r="G18" s="49"/>
    </row>
    <row r="19" spans="1:7" hidden="1">
      <c r="A19" s="208" t="s">
        <v>299</v>
      </c>
      <c r="B19" s="363"/>
      <c r="C19" s="363"/>
      <c r="D19" s="363"/>
      <c r="E19" s="363">
        <v>1</v>
      </c>
      <c r="F19" s="232">
        <f t="shared" si="0"/>
        <v>0</v>
      </c>
      <c r="G19" s="49"/>
    </row>
    <row r="20" spans="1:7" hidden="1">
      <c r="A20" s="208" t="s">
        <v>300</v>
      </c>
      <c r="B20" s="363"/>
      <c r="C20" s="363"/>
      <c r="D20" s="363"/>
      <c r="E20" s="363">
        <v>1</v>
      </c>
      <c r="F20" s="232">
        <f>ROUND(B20*C20*D20*E20,2)</f>
        <v>0</v>
      </c>
      <c r="G20" s="49"/>
    </row>
    <row r="21" spans="1:7" hidden="1">
      <c r="A21" s="208" t="s">
        <v>301</v>
      </c>
      <c r="B21" s="363"/>
      <c r="C21" s="363"/>
      <c r="D21" s="363"/>
      <c r="E21" s="363">
        <v>1</v>
      </c>
      <c r="F21" s="232">
        <f t="shared" si="0"/>
        <v>0</v>
      </c>
      <c r="G21" s="49"/>
    </row>
    <row r="22" spans="1:7" ht="22.5" customHeight="1">
      <c r="A22" s="209" t="s">
        <v>165</v>
      </c>
      <c r="B22" s="363">
        <v>1100</v>
      </c>
      <c r="C22" s="363">
        <v>1</v>
      </c>
      <c r="D22" s="363">
        <v>12</v>
      </c>
      <c r="E22" s="363">
        <v>1</v>
      </c>
      <c r="F22" s="232">
        <f t="shared" si="0"/>
        <v>13200</v>
      </c>
      <c r="G22" s="49"/>
    </row>
    <row r="23" spans="1:7" ht="26.25" hidden="1" customHeight="1">
      <c r="A23" s="209" t="s">
        <v>366</v>
      </c>
      <c r="B23" s="363"/>
      <c r="C23" s="363"/>
      <c r="D23" s="363"/>
      <c r="E23" s="363">
        <v>1</v>
      </c>
      <c r="F23" s="232">
        <f t="shared" si="0"/>
        <v>0</v>
      </c>
      <c r="G23" s="49"/>
    </row>
    <row r="24" spans="1:7" ht="26.25" hidden="1" customHeight="1">
      <c r="A24" s="209" t="s">
        <v>376</v>
      </c>
      <c r="B24" s="363"/>
      <c r="C24" s="363"/>
      <c r="D24" s="363"/>
      <c r="E24" s="363">
        <v>1</v>
      </c>
      <c r="F24" s="232">
        <f t="shared" si="0"/>
        <v>0</v>
      </c>
      <c r="G24" s="49"/>
    </row>
    <row r="25" spans="1:7" ht="24" hidden="1">
      <c r="A25" s="208" t="s">
        <v>302</v>
      </c>
      <c r="B25" s="363"/>
      <c r="C25" s="363"/>
      <c r="D25" s="363"/>
      <c r="E25" s="363">
        <v>1</v>
      </c>
      <c r="F25" s="232">
        <f t="shared" si="0"/>
        <v>0</v>
      </c>
      <c r="G25" s="49"/>
    </row>
    <row r="26" spans="1:7" ht="24.75" thickBot="1">
      <c r="A26" s="210" t="s">
        <v>303</v>
      </c>
      <c r="B26" s="364">
        <v>1605.26</v>
      </c>
      <c r="C26" s="364">
        <v>1</v>
      </c>
      <c r="D26" s="364">
        <v>12</v>
      </c>
      <c r="E26" s="364">
        <v>1</v>
      </c>
      <c r="F26" s="232">
        <f>ROUND(B26*C26*D26*E26,2)</f>
        <v>19263.12</v>
      </c>
      <c r="G26" s="49"/>
    </row>
    <row r="27" spans="1:7" hidden="1">
      <c r="A27" s="64"/>
      <c r="B27" s="63"/>
      <c r="C27" s="63"/>
      <c r="D27" s="63"/>
      <c r="E27" s="63"/>
      <c r="F27" s="207">
        <f t="shared" si="0"/>
        <v>0</v>
      </c>
      <c r="G27" s="49"/>
    </row>
    <row r="28" spans="1:7" hidden="1">
      <c r="A28" s="64"/>
      <c r="B28" s="63"/>
      <c r="C28" s="63"/>
      <c r="D28" s="63"/>
      <c r="E28" s="63"/>
      <c r="F28" s="207">
        <f t="shared" si="0"/>
        <v>0</v>
      </c>
      <c r="G28" s="49"/>
    </row>
    <row r="29" spans="1:7" hidden="1">
      <c r="A29" s="60"/>
      <c r="B29" s="50"/>
      <c r="C29" s="50"/>
      <c r="D29" s="50"/>
      <c r="E29" s="50"/>
      <c r="F29" s="207">
        <f t="shared" si="0"/>
        <v>0</v>
      </c>
      <c r="G29" s="49"/>
    </row>
    <row r="30" spans="1:7" ht="15.75" customHeight="1">
      <c r="A30" s="525" t="s">
        <v>164</v>
      </c>
      <c r="B30" s="525"/>
      <c r="C30" s="525"/>
      <c r="D30" s="525"/>
      <c r="E30" s="525"/>
      <c r="F30" s="525"/>
      <c r="G30" s="49"/>
    </row>
    <row r="31" spans="1:7" ht="13.5" thickBot="1">
      <c r="A31" s="60"/>
      <c r="B31" s="50"/>
      <c r="C31" s="50"/>
      <c r="D31" s="50"/>
      <c r="E31" s="50"/>
      <c r="F31" s="50"/>
      <c r="G31" s="49"/>
    </row>
    <row r="32" spans="1:7" ht="24">
      <c r="A32" s="233"/>
      <c r="B32" s="234" t="s">
        <v>161</v>
      </c>
      <c r="C32" s="234" t="s">
        <v>160</v>
      </c>
      <c r="D32" s="234" t="s">
        <v>113</v>
      </c>
      <c r="E32" s="234" t="s">
        <v>112</v>
      </c>
      <c r="F32" s="235" t="s">
        <v>159</v>
      </c>
      <c r="G32" s="49"/>
    </row>
    <row r="33" spans="1:7" ht="24">
      <c r="A33" s="57" t="s">
        <v>367</v>
      </c>
      <c r="B33" s="55">
        <v>247.8</v>
      </c>
      <c r="C33" s="55">
        <v>1</v>
      </c>
      <c r="D33" s="55">
        <v>12</v>
      </c>
      <c r="E33" s="55">
        <v>1</v>
      </c>
      <c r="F33" s="62">
        <f>ROUND(B33*C33*D33*E33,2)</f>
        <v>2973.6</v>
      </c>
      <c r="G33" s="49"/>
    </row>
    <row r="34" spans="1:7">
      <c r="A34" s="57" t="s">
        <v>320</v>
      </c>
      <c r="B34" s="55">
        <v>0.56999999999999995</v>
      </c>
      <c r="C34" s="55">
        <v>522</v>
      </c>
      <c r="D34" s="55">
        <v>12</v>
      </c>
      <c r="E34" s="55">
        <v>1</v>
      </c>
      <c r="F34" s="62">
        <f>ROUND(B34*C34*D34*E34,2)-0.08</f>
        <v>3570.4</v>
      </c>
      <c r="G34" s="49"/>
    </row>
    <row r="35" spans="1:7">
      <c r="A35" s="57" t="s">
        <v>368</v>
      </c>
      <c r="B35" s="55"/>
      <c r="C35" s="55"/>
      <c r="D35" s="55">
        <v>1</v>
      </c>
      <c r="E35" s="55">
        <v>1</v>
      </c>
      <c r="F35" s="62">
        <f>ROUND(B35*C35*D35*E35,2)</f>
        <v>0</v>
      </c>
      <c r="G35" s="49"/>
    </row>
    <row r="36" spans="1:7" ht="24">
      <c r="A36" s="57" t="s">
        <v>319</v>
      </c>
      <c r="B36" s="55"/>
      <c r="C36" s="55"/>
      <c r="D36" s="55">
        <v>12</v>
      </c>
      <c r="E36" s="55">
        <v>1</v>
      </c>
      <c r="F36" s="62">
        <f>ROUND(B36*C36*D36*E36,2)</f>
        <v>0</v>
      </c>
      <c r="G36" s="49"/>
    </row>
    <row r="37" spans="1:7">
      <c r="A37" s="57" t="s">
        <v>320</v>
      </c>
      <c r="B37" s="55"/>
      <c r="C37" s="55"/>
      <c r="D37" s="55">
        <v>12</v>
      </c>
      <c r="E37" s="55">
        <v>1</v>
      </c>
      <c r="F37" s="62">
        <f>ROUND(B37*C37*D37*E37,2)</f>
        <v>0</v>
      </c>
      <c r="G37" s="49"/>
    </row>
    <row r="38" spans="1:7">
      <c r="A38" s="57" t="s">
        <v>344</v>
      </c>
      <c r="B38" s="55">
        <v>713.9</v>
      </c>
      <c r="C38" s="55">
        <v>1</v>
      </c>
      <c r="D38" s="55">
        <v>12</v>
      </c>
      <c r="E38" s="55">
        <v>1</v>
      </c>
      <c r="F38" s="62">
        <f>ROUND(B38*C38*D38*E38,2)+0.2</f>
        <v>8567</v>
      </c>
      <c r="G38" s="49"/>
    </row>
    <row r="39" spans="1:7" ht="13.5" thickBot="1">
      <c r="A39" s="61" t="s">
        <v>109</v>
      </c>
      <c r="B39" s="52"/>
      <c r="C39" s="52"/>
      <c r="D39" s="52"/>
      <c r="E39" s="52"/>
      <c r="F39" s="251">
        <f>F33+F35+F34+F36+F37+F38</f>
        <v>15111</v>
      </c>
      <c r="G39" s="49"/>
    </row>
    <row r="40" spans="1:7" ht="27" hidden="1" customHeight="1" thickBot="1">
      <c r="A40" s="248" t="s">
        <v>163</v>
      </c>
      <c r="B40" s="249"/>
      <c r="C40" s="249"/>
      <c r="D40" s="249"/>
      <c r="E40" s="249"/>
      <c r="F40" s="250">
        <f>ROUND(B40*C40*D40*E40,2)</f>
        <v>0</v>
      </c>
      <c r="G40" s="49"/>
    </row>
    <row r="41" spans="1:7">
      <c r="A41" s="60"/>
      <c r="B41" s="50"/>
      <c r="C41" s="50"/>
      <c r="D41" s="50"/>
      <c r="E41" s="50"/>
      <c r="F41" s="50"/>
      <c r="G41" s="49"/>
    </row>
    <row r="42" spans="1:7">
      <c r="A42" s="50"/>
      <c r="B42" s="50"/>
      <c r="C42" s="50"/>
      <c r="D42" s="50"/>
      <c r="E42" s="50"/>
      <c r="F42" s="50"/>
      <c r="G42" s="49"/>
    </row>
    <row r="43" spans="1:7">
      <c r="A43" s="526" t="s">
        <v>162</v>
      </c>
      <c r="B43" s="527"/>
      <c r="C43" s="527"/>
      <c r="D43" s="527"/>
      <c r="E43" s="527"/>
      <c r="F43" s="527"/>
      <c r="G43" s="49"/>
    </row>
    <row r="44" spans="1:7" ht="13.5" thickBot="1">
      <c r="A44" s="50"/>
      <c r="B44" s="50"/>
      <c r="C44" s="50"/>
      <c r="D44" s="50"/>
      <c r="E44" s="50"/>
      <c r="F44" s="50"/>
      <c r="G44" s="49"/>
    </row>
    <row r="45" spans="1:7" ht="24">
      <c r="A45" s="233"/>
      <c r="B45" s="234" t="s">
        <v>161</v>
      </c>
      <c r="C45" s="234" t="s">
        <v>160</v>
      </c>
      <c r="D45" s="234" t="s">
        <v>113</v>
      </c>
      <c r="E45" s="234" t="s">
        <v>112</v>
      </c>
      <c r="F45" s="235" t="s">
        <v>159</v>
      </c>
      <c r="G45" s="49"/>
    </row>
    <row r="46" spans="1:7">
      <c r="A46" s="342" t="s">
        <v>369</v>
      </c>
      <c r="B46" s="343">
        <v>150</v>
      </c>
      <c r="C46" s="343">
        <v>22</v>
      </c>
      <c r="D46" s="343">
        <v>1</v>
      </c>
      <c r="E46" s="343">
        <v>1</v>
      </c>
      <c r="F46" s="54">
        <f t="shared" ref="F46:F51" si="1">ROUND(B46*C46*D46*E46,2)</f>
        <v>3300</v>
      </c>
      <c r="G46" s="49"/>
    </row>
    <row r="47" spans="1:7">
      <c r="A47" s="57" t="s">
        <v>370</v>
      </c>
      <c r="B47" s="344">
        <v>1300</v>
      </c>
      <c r="C47" s="344">
        <v>45</v>
      </c>
      <c r="D47" s="344">
        <v>1</v>
      </c>
      <c r="E47" s="344">
        <v>1</v>
      </c>
      <c r="F47" s="54">
        <f t="shared" si="1"/>
        <v>58500</v>
      </c>
      <c r="G47" s="49"/>
    </row>
    <row r="48" spans="1:7">
      <c r="A48" s="57" t="s">
        <v>378</v>
      </c>
      <c r="B48" s="345"/>
      <c r="C48" s="345"/>
      <c r="D48" s="345">
        <v>1</v>
      </c>
      <c r="E48" s="345">
        <v>1</v>
      </c>
      <c r="F48" s="54">
        <f t="shared" si="1"/>
        <v>0</v>
      </c>
      <c r="G48" s="49"/>
    </row>
    <row r="49" spans="1:7">
      <c r="A49" s="57" t="s">
        <v>371</v>
      </c>
      <c r="B49" s="345">
        <v>1040</v>
      </c>
      <c r="C49" s="345">
        <v>9</v>
      </c>
      <c r="D49" s="345">
        <v>1</v>
      </c>
      <c r="E49" s="345">
        <v>1</v>
      </c>
      <c r="F49" s="231">
        <f t="shared" si="1"/>
        <v>9360</v>
      </c>
      <c r="G49" s="49"/>
    </row>
    <row r="50" spans="1:7">
      <c r="A50" s="59" t="s">
        <v>372</v>
      </c>
      <c r="B50" s="345"/>
      <c r="C50" s="345"/>
      <c r="D50" s="345">
        <v>1</v>
      </c>
      <c r="E50" s="345">
        <v>1</v>
      </c>
      <c r="F50" s="231">
        <f t="shared" si="1"/>
        <v>0</v>
      </c>
      <c r="G50" s="49"/>
    </row>
    <row r="51" spans="1:7">
      <c r="A51" s="59" t="s">
        <v>286</v>
      </c>
      <c r="B51" s="58">
        <v>200</v>
      </c>
      <c r="C51" s="58">
        <v>54</v>
      </c>
      <c r="D51" s="58">
        <v>1</v>
      </c>
      <c r="E51" s="58">
        <v>1</v>
      </c>
      <c r="F51" s="231">
        <f t="shared" si="1"/>
        <v>10800</v>
      </c>
      <c r="G51" s="49"/>
    </row>
    <row r="52" spans="1:7">
      <c r="A52" s="57" t="s">
        <v>109</v>
      </c>
      <c r="B52" s="55"/>
      <c r="C52" s="55"/>
      <c r="D52" s="55"/>
      <c r="E52" s="55"/>
      <c r="F52" s="273">
        <f>SUM(F46:F51)</f>
        <v>81960</v>
      </c>
      <c r="G52" s="49"/>
    </row>
    <row r="53" spans="1:7">
      <c r="A53" s="57" t="s">
        <v>375</v>
      </c>
      <c r="B53" s="55"/>
      <c r="C53" s="55"/>
      <c r="D53" s="55">
        <v>12</v>
      </c>
      <c r="E53" s="55">
        <v>1</v>
      </c>
      <c r="F53" s="231">
        <f>ROUND(B53*C53*D53*E53,2)</f>
        <v>0</v>
      </c>
      <c r="G53" s="49"/>
    </row>
    <row r="54" spans="1:7">
      <c r="A54" s="57" t="s">
        <v>397</v>
      </c>
      <c r="B54" s="55">
        <v>4500</v>
      </c>
      <c r="C54" s="55">
        <v>1</v>
      </c>
      <c r="D54" s="55">
        <v>1</v>
      </c>
      <c r="E54" s="55">
        <v>1</v>
      </c>
      <c r="F54" s="231">
        <f>ROUND(B54*C54*D54*E54,0)</f>
        <v>4500</v>
      </c>
      <c r="G54" s="49"/>
    </row>
    <row r="55" spans="1:7" ht="24" hidden="1">
      <c r="A55" s="57" t="s">
        <v>374</v>
      </c>
      <c r="B55" s="55"/>
      <c r="C55" s="55"/>
      <c r="D55" s="55">
        <v>1</v>
      </c>
      <c r="E55" s="55">
        <v>1</v>
      </c>
      <c r="F55" s="231">
        <f>ROUND(B55*C55*D55*E55,0)</f>
        <v>0</v>
      </c>
      <c r="G55" s="49"/>
    </row>
    <row r="56" spans="1:7" ht="24" hidden="1">
      <c r="A56" s="57" t="s">
        <v>379</v>
      </c>
      <c r="B56" s="55">
        <v>0</v>
      </c>
      <c r="C56" s="55">
        <v>1</v>
      </c>
      <c r="D56" s="55">
        <v>1</v>
      </c>
      <c r="E56" s="55">
        <v>1</v>
      </c>
      <c r="F56" s="231">
        <f>ROUND(B56*C56*D56*E56,0)</f>
        <v>0</v>
      </c>
      <c r="G56" s="49"/>
    </row>
    <row r="57" spans="1:7">
      <c r="A57" s="57" t="s">
        <v>373</v>
      </c>
      <c r="B57" s="55">
        <v>0</v>
      </c>
      <c r="C57" s="55">
        <v>1</v>
      </c>
      <c r="D57" s="55">
        <v>1</v>
      </c>
      <c r="E57" s="55">
        <v>1</v>
      </c>
      <c r="F57" s="231">
        <f>ROUND(B57*C57*D57*E57,2)</f>
        <v>0</v>
      </c>
      <c r="G57" s="49"/>
    </row>
    <row r="58" spans="1:7">
      <c r="A58" s="57" t="s">
        <v>321</v>
      </c>
      <c r="B58" s="55">
        <v>142.12</v>
      </c>
      <c r="C58" s="55">
        <v>75</v>
      </c>
      <c r="D58" s="55">
        <v>1</v>
      </c>
      <c r="E58" s="55">
        <v>1</v>
      </c>
      <c r="F58" s="231">
        <f t="shared" ref="F58:F63" si="2">ROUND(B58*C58*D58*E58,2)</f>
        <v>10659</v>
      </c>
      <c r="G58" s="49"/>
    </row>
    <row r="59" spans="1:7" ht="13.5" customHeight="1">
      <c r="A59" s="57" t="s">
        <v>387</v>
      </c>
      <c r="B59" s="55"/>
      <c r="C59" s="55">
        <v>1</v>
      </c>
      <c r="D59" s="55">
        <v>1</v>
      </c>
      <c r="E59" s="55">
        <v>1</v>
      </c>
      <c r="F59" s="231">
        <f t="shared" si="2"/>
        <v>0</v>
      </c>
      <c r="G59" s="49"/>
    </row>
    <row r="60" spans="1:7" ht="13.5" thickBot="1">
      <c r="A60" s="61" t="s">
        <v>396</v>
      </c>
      <c r="B60" s="52">
        <v>5353.86</v>
      </c>
      <c r="C60" s="52">
        <v>1</v>
      </c>
      <c r="D60" s="52">
        <v>1</v>
      </c>
      <c r="E60" s="52">
        <v>1</v>
      </c>
      <c r="F60" s="247">
        <f t="shared" si="2"/>
        <v>5353.86</v>
      </c>
      <c r="G60" s="352"/>
    </row>
    <row r="61" spans="1:7" hidden="1">
      <c r="A61" s="244"/>
      <c r="B61" s="245"/>
      <c r="C61" s="245"/>
      <c r="D61" s="245">
        <v>1</v>
      </c>
      <c r="E61" s="245">
        <v>1</v>
      </c>
      <c r="F61" s="246">
        <f t="shared" si="2"/>
        <v>0</v>
      </c>
      <c r="G61" s="49"/>
    </row>
    <row r="62" spans="1:7" hidden="1">
      <c r="A62" s="57"/>
      <c r="B62" s="55"/>
      <c r="C62" s="55"/>
      <c r="D62" s="55">
        <v>1</v>
      </c>
      <c r="E62" s="55">
        <v>1</v>
      </c>
      <c r="F62" s="54">
        <f t="shared" si="2"/>
        <v>0</v>
      </c>
      <c r="G62" s="49"/>
    </row>
    <row r="63" spans="1:7" hidden="1">
      <c r="A63" s="57"/>
      <c r="B63" s="55"/>
      <c r="C63" s="55"/>
      <c r="D63" s="55">
        <v>1</v>
      </c>
      <c r="E63" s="55">
        <v>1</v>
      </c>
      <c r="F63" s="54">
        <f t="shared" si="2"/>
        <v>0</v>
      </c>
      <c r="G63" s="49"/>
    </row>
    <row r="64" spans="1:7" hidden="1">
      <c r="A64" s="520" t="s">
        <v>155</v>
      </c>
      <c r="B64" s="521"/>
      <c r="C64" s="521"/>
      <c r="D64" s="521"/>
      <c r="E64" s="521"/>
      <c r="F64" s="522"/>
      <c r="G64" s="49"/>
    </row>
    <row r="65" spans="1:82" hidden="1">
      <c r="A65" s="56"/>
      <c r="B65" s="55"/>
      <c r="C65" s="55"/>
      <c r="D65" s="55"/>
      <c r="E65" s="55"/>
      <c r="F65" s="54"/>
      <c r="G65" s="49"/>
    </row>
    <row r="66" spans="1:82" hidden="1">
      <c r="A66" s="56"/>
      <c r="B66" s="55"/>
      <c r="C66" s="55"/>
      <c r="D66" s="55"/>
      <c r="E66" s="55"/>
      <c r="F66" s="54"/>
      <c r="G66" s="49"/>
    </row>
    <row r="67" spans="1:82" hidden="1">
      <c r="A67" s="56"/>
      <c r="B67" s="55"/>
      <c r="C67" s="55" t="s">
        <v>118</v>
      </c>
      <c r="D67" s="55"/>
      <c r="E67" s="55"/>
      <c r="F67" s="54"/>
      <c r="G67" s="49"/>
    </row>
    <row r="68" spans="1:82" hidden="1">
      <c r="A68" s="56"/>
      <c r="B68" s="55"/>
      <c r="C68" s="55"/>
      <c r="D68" s="55"/>
      <c r="E68" s="55"/>
      <c r="F68" s="54"/>
      <c r="G68" s="49"/>
    </row>
    <row r="69" spans="1:82" hidden="1">
      <c r="A69" s="56"/>
      <c r="B69" s="55"/>
      <c r="C69" s="55"/>
      <c r="D69" s="55"/>
      <c r="E69" s="55"/>
      <c r="F69" s="54"/>
      <c r="G69" s="49"/>
    </row>
    <row r="70" spans="1:82" hidden="1">
      <c r="A70" s="56" t="s">
        <v>154</v>
      </c>
      <c r="B70" s="55"/>
      <c r="C70" s="55">
        <v>1</v>
      </c>
      <c r="D70" s="55">
        <v>1</v>
      </c>
      <c r="E70" s="55">
        <v>1</v>
      </c>
      <c r="F70" s="54">
        <f>ROUND(B70*C70*D70*E70,2)</f>
        <v>0</v>
      </c>
      <c r="G70" s="49"/>
    </row>
    <row r="71" spans="1:82" hidden="1">
      <c r="A71" s="57" t="s">
        <v>153</v>
      </c>
      <c r="B71" s="55"/>
      <c r="C71" s="55"/>
      <c r="D71" s="55"/>
      <c r="E71" s="55"/>
      <c r="F71" s="54"/>
      <c r="G71" s="49"/>
    </row>
    <row r="72" spans="1:82" ht="8.25" hidden="1" customHeight="1">
      <c r="A72" s="56"/>
      <c r="B72" s="55"/>
      <c r="C72" s="55"/>
      <c r="D72" s="55"/>
      <c r="E72" s="55"/>
      <c r="F72" s="54"/>
      <c r="G72" s="49"/>
    </row>
    <row r="73" spans="1:82" ht="10.5" hidden="1" customHeight="1">
      <c r="A73" s="56"/>
      <c r="B73" s="55"/>
      <c r="C73" s="55"/>
      <c r="D73" s="55"/>
      <c r="E73" s="55"/>
      <c r="F73" s="54"/>
      <c r="G73" s="49"/>
    </row>
    <row r="74" spans="1:82" ht="13.5" hidden="1" thickBot="1">
      <c r="A74" s="53" t="s">
        <v>109</v>
      </c>
      <c r="B74" s="52"/>
      <c r="C74" s="52"/>
      <c r="D74" s="52"/>
      <c r="E74" s="52"/>
      <c r="F74" s="51">
        <f>SUM(F65:F73)</f>
        <v>0</v>
      </c>
      <c r="G74" s="49"/>
    </row>
    <row r="75" spans="1:82">
      <c r="A75" s="50"/>
      <c r="B75" s="50"/>
      <c r="C75" s="50"/>
      <c r="D75" s="50"/>
      <c r="E75" s="50"/>
      <c r="F75" s="50"/>
      <c r="G75" s="49"/>
    </row>
    <row r="76" spans="1:82" ht="10.5" customHeight="1">
      <c r="A76" s="50"/>
      <c r="B76" s="50"/>
      <c r="C76" s="50"/>
      <c r="D76" s="50"/>
      <c r="E76" s="50"/>
      <c r="F76" s="50"/>
      <c r="G76" s="49"/>
    </row>
    <row r="77" spans="1:82">
      <c r="A77" s="50"/>
      <c r="B77" s="50"/>
      <c r="C77" s="50"/>
      <c r="D77" s="50"/>
      <c r="E77" s="50"/>
      <c r="F77" s="50"/>
      <c r="G77" s="49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</row>
    <row r="79" spans="1:82">
      <c r="A79" s="15" t="str">
        <f ca="1">свод!A119</f>
        <v>Директор МБОУ "Кадетская школа № 46 г. Пензы"</v>
      </c>
      <c r="B79" s="71"/>
      <c r="C79" s="215"/>
      <c r="D79" s="215"/>
      <c r="E79" s="16" t="str">
        <f ca="1">свод!E119</f>
        <v>В.А.Борисов</v>
      </c>
      <c r="F79" s="15"/>
      <c r="H79" s="12"/>
      <c r="I79" s="12"/>
      <c r="J79" s="12"/>
    </row>
    <row r="80" spans="1:82">
      <c r="A80" s="68"/>
      <c r="B80" s="68"/>
      <c r="C80" s="68"/>
      <c r="D80" s="68"/>
      <c r="E80" s="14"/>
      <c r="H80" s="12"/>
      <c r="I80" s="12"/>
      <c r="J80" s="35"/>
    </row>
    <row r="81" spans="1:82">
      <c r="A81" s="11" t="str">
        <f ca="1">свод!A121</f>
        <v xml:space="preserve">Гл.бухгалтер  </v>
      </c>
      <c r="B81" s="68"/>
      <c r="C81" s="216"/>
      <c r="D81" s="216"/>
      <c r="E81" s="14" t="str">
        <f ca="1">свод!E121</f>
        <v>Н.Е.Нелюбова</v>
      </c>
      <c r="H81" s="12"/>
      <c r="I81" s="12"/>
      <c r="J81" s="12"/>
    </row>
    <row r="82" spans="1:82">
      <c r="A82" s="50"/>
      <c r="B82" s="50"/>
      <c r="C82" s="50"/>
      <c r="D82" s="50"/>
      <c r="E82" s="50"/>
      <c r="F82" s="50"/>
      <c r="G82" s="49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</row>
  </sheetData>
  <mergeCells count="5">
    <mergeCell ref="A64:F64"/>
    <mergeCell ref="E1:F1"/>
    <mergeCell ref="A2:F2"/>
    <mergeCell ref="A30:F30"/>
    <mergeCell ref="A43:F43"/>
  </mergeCells>
  <phoneticPr fontId="0" type="noConversion"/>
  <pageMargins left="0" right="0" top="0.28999999999999998" bottom="0.74803149606299213" header="0.31496062992125984" footer="0.31496062992125984"/>
  <pageSetup paperSize="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D52"/>
  <sheetViews>
    <sheetView workbookViewId="0">
      <selection activeCell="E52" sqref="E52"/>
    </sheetView>
  </sheetViews>
  <sheetFormatPr defaultRowHeight="12.75"/>
  <cols>
    <col min="1" max="1" width="23.42578125" style="67" customWidth="1"/>
    <col min="2" max="2" width="16.85546875" style="67" customWidth="1"/>
    <col min="3" max="4" width="12.85546875" style="67" customWidth="1"/>
    <col min="5" max="5" width="13" style="67" customWidth="1"/>
    <col min="6" max="6" width="14.42578125" style="67" customWidth="1"/>
    <col min="7" max="16384" width="9.140625" style="67"/>
  </cols>
  <sheetData>
    <row r="1" spans="1:6">
      <c r="E1" s="530" t="s">
        <v>189</v>
      </c>
      <c r="F1" s="530"/>
    </row>
    <row r="2" spans="1:6" ht="18.75">
      <c r="A2" s="531" t="s">
        <v>188</v>
      </c>
      <c r="B2" s="531"/>
      <c r="C2" s="531"/>
      <c r="D2" s="531"/>
      <c r="E2" s="531"/>
      <c r="F2" s="531"/>
    </row>
    <row r="3" spans="1:6" s="83" customFormat="1">
      <c r="A3" s="82"/>
      <c r="B3" s="82"/>
      <c r="C3" s="82"/>
      <c r="D3" s="82"/>
      <c r="E3" s="82"/>
      <c r="F3" s="82"/>
    </row>
    <row r="4" spans="1:6" ht="13.5" thickBot="1">
      <c r="A4" s="82"/>
      <c r="B4" s="82"/>
      <c r="C4" s="82"/>
      <c r="D4" s="82"/>
      <c r="E4" s="82"/>
      <c r="F4" s="82"/>
    </row>
    <row r="5" spans="1:6" s="79" customFormat="1" ht="25.5">
      <c r="A5" s="221"/>
      <c r="B5" s="222" t="s">
        <v>161</v>
      </c>
      <c r="C5" s="222" t="s">
        <v>160</v>
      </c>
      <c r="D5" s="222" t="s">
        <v>113</v>
      </c>
      <c r="E5" s="218" t="s">
        <v>112</v>
      </c>
      <c r="F5" s="223" t="s">
        <v>159</v>
      </c>
    </row>
    <row r="6" spans="1:6">
      <c r="A6" s="77" t="s">
        <v>187</v>
      </c>
      <c r="B6" s="75"/>
      <c r="C6" s="75">
        <v>4</v>
      </c>
      <c r="D6" s="75">
        <v>1</v>
      </c>
      <c r="E6" s="75">
        <v>1</v>
      </c>
      <c r="F6" s="74">
        <f>ROUND(B6*C6*D6*E6,2)</f>
        <v>0</v>
      </c>
    </row>
    <row r="7" spans="1:6">
      <c r="A7" s="77" t="s">
        <v>186</v>
      </c>
      <c r="B7" s="75"/>
      <c r="C7" s="75"/>
      <c r="D7" s="75"/>
      <c r="E7" s="75"/>
      <c r="F7" s="74"/>
    </row>
    <row r="8" spans="1:6" hidden="1">
      <c r="A8" s="22" t="s">
        <v>170</v>
      </c>
      <c r="B8" s="75"/>
      <c r="C8" s="75">
        <v>1</v>
      </c>
      <c r="D8" s="75">
        <v>1</v>
      </c>
      <c r="E8" s="75">
        <v>1.0649999999999999</v>
      </c>
      <c r="F8" s="74">
        <f>ROUND(B8*C8*D8*E8,2)</f>
        <v>0</v>
      </c>
    </row>
    <row r="9" spans="1:6" ht="25.5" hidden="1">
      <c r="A9" s="22" t="s">
        <v>185</v>
      </c>
      <c r="B9" s="75"/>
      <c r="C9" s="75"/>
      <c r="D9" s="75">
        <v>12</v>
      </c>
      <c r="E9" s="75">
        <v>1</v>
      </c>
      <c r="F9" s="74">
        <f>ROUND(B9*C9*D9*E9,2)</f>
        <v>0</v>
      </c>
    </row>
    <row r="10" spans="1:6" hidden="1">
      <c r="A10" s="81" t="s">
        <v>184</v>
      </c>
      <c r="B10" s="75"/>
      <c r="C10" s="75"/>
      <c r="D10" s="75"/>
      <c r="E10" s="75"/>
      <c r="F10" s="74">
        <f>SUM(F6:F9)</f>
        <v>0</v>
      </c>
    </row>
    <row r="11" spans="1:6" hidden="1">
      <c r="A11" s="81" t="s">
        <v>168</v>
      </c>
      <c r="B11" s="75"/>
      <c r="C11" s="75">
        <v>1</v>
      </c>
      <c r="D11" s="75">
        <v>12</v>
      </c>
      <c r="E11" s="75">
        <v>1.0649999999999999</v>
      </c>
      <c r="F11" s="74">
        <f>ROUND(B11*C11*D11*E11,2)</f>
        <v>0</v>
      </c>
    </row>
    <row r="12" spans="1:6" ht="38.25" hidden="1">
      <c r="A12" s="81" t="s">
        <v>166</v>
      </c>
      <c r="B12" s="75"/>
      <c r="C12" s="75">
        <v>1</v>
      </c>
      <c r="D12" s="75">
        <v>1</v>
      </c>
      <c r="E12" s="75">
        <v>1</v>
      </c>
      <c r="F12" s="74">
        <f>ROUND(B12*C12*D12*E12,2)</f>
        <v>0</v>
      </c>
    </row>
    <row r="13" spans="1:6" hidden="1">
      <c r="A13" s="81"/>
      <c r="B13" s="75"/>
      <c r="C13" s="75"/>
      <c r="D13" s="75"/>
      <c r="E13" s="75"/>
      <c r="F13" s="74"/>
    </row>
    <row r="14" spans="1:6" hidden="1">
      <c r="A14" s="81"/>
      <c r="B14" s="75"/>
      <c r="C14" s="75"/>
      <c r="D14" s="75"/>
      <c r="E14" s="75"/>
      <c r="F14" s="74"/>
    </row>
    <row r="15" spans="1:6" hidden="1">
      <c r="A15" s="81"/>
      <c r="B15" s="75"/>
      <c r="C15" s="75"/>
      <c r="D15" s="75"/>
      <c r="E15" s="75"/>
      <c r="F15" s="74"/>
    </row>
    <row r="16" spans="1:6" hidden="1">
      <c r="A16" s="81"/>
      <c r="B16" s="75"/>
      <c r="C16" s="75"/>
      <c r="D16" s="75"/>
      <c r="E16" s="75"/>
      <c r="F16" s="74"/>
    </row>
    <row r="17" spans="1:6" hidden="1">
      <c r="A17" s="81"/>
      <c r="B17" s="75"/>
      <c r="C17" s="75"/>
      <c r="D17" s="75"/>
      <c r="E17" s="75"/>
      <c r="F17" s="74"/>
    </row>
    <row r="18" spans="1:6" hidden="1">
      <c r="A18" s="81"/>
      <c r="B18" s="75"/>
      <c r="C18" s="75"/>
      <c r="D18" s="75"/>
      <c r="E18" s="75"/>
      <c r="F18" s="74"/>
    </row>
    <row r="19" spans="1:6" hidden="1">
      <c r="A19" s="81"/>
      <c r="B19" s="75"/>
      <c r="C19" s="75"/>
      <c r="D19" s="75"/>
      <c r="E19" s="75"/>
      <c r="F19" s="74"/>
    </row>
    <row r="20" spans="1:6" hidden="1">
      <c r="A20" s="81"/>
      <c r="B20" s="75"/>
      <c r="C20" s="75"/>
      <c r="D20" s="75"/>
      <c r="E20" s="75"/>
      <c r="F20" s="74"/>
    </row>
    <row r="21" spans="1:6" hidden="1">
      <c r="A21" s="81"/>
      <c r="B21" s="75"/>
      <c r="C21" s="75"/>
      <c r="D21" s="75"/>
      <c r="E21" s="75"/>
      <c r="F21" s="74"/>
    </row>
    <row r="22" spans="1:6" ht="13.5" thickBot="1">
      <c r="A22" s="80"/>
      <c r="B22" s="73"/>
      <c r="C22" s="73"/>
      <c r="D22" s="73"/>
      <c r="E22" s="73"/>
      <c r="F22" s="72"/>
    </row>
    <row r="23" spans="1:6" ht="32.25" customHeight="1">
      <c r="A23" s="531" t="s">
        <v>183</v>
      </c>
      <c r="B23" s="474"/>
      <c r="C23" s="474"/>
      <c r="D23" s="474"/>
      <c r="E23" s="474"/>
      <c r="F23" s="474"/>
    </row>
    <row r="24" spans="1:6" ht="13.5" thickBot="1">
      <c r="A24" s="79"/>
    </row>
    <row r="25" spans="1:6" ht="25.5">
      <c r="A25" s="76"/>
      <c r="B25" s="222" t="s">
        <v>161</v>
      </c>
      <c r="C25" s="222" t="s">
        <v>160</v>
      </c>
      <c r="D25" s="222" t="s">
        <v>113</v>
      </c>
      <c r="E25" s="218" t="s">
        <v>112</v>
      </c>
      <c r="F25" s="223" t="s">
        <v>159</v>
      </c>
    </row>
    <row r="26" spans="1:6">
      <c r="A26" s="77" t="s">
        <v>182</v>
      </c>
      <c r="B26" s="225"/>
      <c r="C26" s="75"/>
      <c r="D26" s="75">
        <v>1</v>
      </c>
      <c r="E26" s="75">
        <v>1</v>
      </c>
      <c r="F26" s="74">
        <f>ROUND(B26*C26*D26*E26,2)</f>
        <v>0</v>
      </c>
    </row>
    <row r="27" spans="1:6">
      <c r="A27" s="77" t="s">
        <v>181</v>
      </c>
      <c r="B27" s="75"/>
      <c r="C27" s="75">
        <v>1</v>
      </c>
      <c r="D27" s="75">
        <v>1</v>
      </c>
      <c r="E27" s="75">
        <v>1</v>
      </c>
      <c r="F27" s="74">
        <f>ROUND(B27*C27*D27*E27,2)</f>
        <v>0</v>
      </c>
    </row>
    <row r="28" spans="1:6">
      <c r="A28" s="77" t="s">
        <v>180</v>
      </c>
      <c r="B28" s="75"/>
      <c r="C28" s="75"/>
      <c r="D28" s="75"/>
      <c r="E28" s="75"/>
      <c r="F28" s="74">
        <f>ROUND(B28*C28*D28*E28,2)</f>
        <v>0</v>
      </c>
    </row>
    <row r="29" spans="1:6" ht="13.5" thickBot="1">
      <c r="A29" s="20" t="s">
        <v>109</v>
      </c>
      <c r="B29" s="73"/>
      <c r="C29" s="73"/>
      <c r="D29" s="73"/>
      <c r="E29" s="73"/>
      <c r="F29" s="72">
        <f>F26+F27+F28</f>
        <v>0</v>
      </c>
    </row>
    <row r="30" spans="1:6">
      <c r="A30" s="79"/>
    </row>
    <row r="31" spans="1:6">
      <c r="A31" s="79"/>
    </row>
    <row r="32" spans="1:6" ht="37.5" customHeight="1">
      <c r="A32" s="532" t="s">
        <v>179</v>
      </c>
      <c r="B32" s="533"/>
      <c r="C32" s="533"/>
      <c r="D32" s="533"/>
      <c r="E32" s="533"/>
      <c r="F32" s="534"/>
    </row>
    <row r="33" spans="1:6">
      <c r="A33" s="78"/>
    </row>
    <row r="34" spans="1:6" ht="13.5" thickBot="1">
      <c r="A34" s="78"/>
    </row>
    <row r="35" spans="1:6" ht="51">
      <c r="A35" s="224"/>
      <c r="B35" s="222" t="s">
        <v>178</v>
      </c>
      <c r="C35" s="222" t="s">
        <v>177</v>
      </c>
      <c r="D35" s="222"/>
      <c r="E35" s="222"/>
      <c r="F35" s="223" t="s">
        <v>176</v>
      </c>
    </row>
    <row r="36" spans="1:6">
      <c r="A36" s="77" t="s">
        <v>175</v>
      </c>
      <c r="B36" s="75"/>
      <c r="C36" s="75">
        <v>1</v>
      </c>
      <c r="D36" s="75"/>
      <c r="E36" s="75"/>
      <c r="F36" s="74">
        <f>ROUND(B36*C36,2)</f>
        <v>0</v>
      </c>
    </row>
    <row r="37" spans="1:6" ht="13.5" thickBot="1">
      <c r="A37" s="30"/>
      <c r="B37" s="73"/>
      <c r="C37" s="73"/>
      <c r="D37" s="73"/>
      <c r="E37" s="73"/>
      <c r="F37" s="72">
        <f>ROUND(B37*C37*D37*E37,2)</f>
        <v>0</v>
      </c>
    </row>
    <row r="40" spans="1:6" ht="18.75">
      <c r="A40" s="528" t="s">
        <v>174</v>
      </c>
      <c r="B40" s="529"/>
      <c r="C40" s="529"/>
      <c r="D40" s="529"/>
      <c r="E40" s="529"/>
      <c r="F40" s="529"/>
    </row>
    <row r="41" spans="1:6" ht="13.5" thickBot="1"/>
    <row r="42" spans="1:6" ht="25.5">
      <c r="A42" s="221"/>
      <c r="B42" s="222" t="s">
        <v>161</v>
      </c>
      <c r="C42" s="222" t="s">
        <v>160</v>
      </c>
      <c r="D42" s="222" t="s">
        <v>113</v>
      </c>
      <c r="E42" s="218" t="s">
        <v>112</v>
      </c>
      <c r="F42" s="223" t="s">
        <v>159</v>
      </c>
    </row>
    <row r="43" spans="1:6">
      <c r="A43" s="22"/>
      <c r="B43" s="75"/>
      <c r="C43" s="75"/>
      <c r="D43" s="75"/>
      <c r="E43" s="75"/>
      <c r="F43" s="74">
        <f>ROUND(B43*C43*D43*E43,2)</f>
        <v>0</v>
      </c>
    </row>
    <row r="44" spans="1:6">
      <c r="A44" s="22"/>
      <c r="B44" s="75"/>
      <c r="C44" s="75"/>
      <c r="D44" s="75"/>
      <c r="E44" s="75"/>
      <c r="F44" s="74">
        <f>ROUND(B44*C44*D44*E44,2)</f>
        <v>0</v>
      </c>
    </row>
    <row r="45" spans="1:6" ht="13.5" thickBot="1">
      <c r="A45" s="20"/>
      <c r="B45" s="73"/>
      <c r="C45" s="73"/>
      <c r="D45" s="73"/>
      <c r="E45" s="73"/>
      <c r="F45" s="72">
        <f>ROUND(B45*C45*D45*E45,2)</f>
        <v>0</v>
      </c>
    </row>
    <row r="49" spans="1:82" s="11" customFormat="1">
      <c r="A49" s="15" t="str">
        <f ca="1">свод!A119</f>
        <v>Директор МБОУ "Кадетская школа № 46 г. Пензы"</v>
      </c>
      <c r="B49" s="71"/>
      <c r="C49" s="215"/>
      <c r="D49" s="215"/>
      <c r="E49" s="16" t="str">
        <f ca="1">свод!E119</f>
        <v>В.А.Борисов</v>
      </c>
      <c r="F49" s="15"/>
      <c r="G49" s="13"/>
      <c r="H49" s="12"/>
      <c r="I49" s="12"/>
      <c r="J49" s="12"/>
    </row>
    <row r="50" spans="1:82" s="11" customFormat="1">
      <c r="A50" s="68"/>
      <c r="B50" s="68"/>
      <c r="C50" s="68"/>
      <c r="D50" s="68"/>
      <c r="E50" s="14"/>
      <c r="G50" s="13"/>
      <c r="H50" s="12"/>
      <c r="I50" s="12"/>
      <c r="J50" s="35"/>
    </row>
    <row r="51" spans="1:82" s="11" customFormat="1">
      <c r="A51" s="11" t="str">
        <f ca="1">свод!A121</f>
        <v xml:space="preserve">Гл.бухгалтер  </v>
      </c>
      <c r="B51" s="68"/>
      <c r="C51" s="216"/>
      <c r="D51" s="216"/>
      <c r="E51" s="14" t="str">
        <f ca="1">свод!E121</f>
        <v>Н.Е.Нелюбова</v>
      </c>
      <c r="G51" s="13"/>
      <c r="H51" s="12"/>
      <c r="I51" s="12"/>
      <c r="J51" s="12"/>
    </row>
    <row r="52" spans="1:82" s="68" customFormat="1"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</row>
  </sheetData>
  <mergeCells count="5">
    <mergeCell ref="A40:F40"/>
    <mergeCell ref="E1:F1"/>
    <mergeCell ref="A2:F2"/>
    <mergeCell ref="A23:F23"/>
    <mergeCell ref="A32:F32"/>
  </mergeCells>
  <phoneticPr fontId="0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30"/>
  <sheetViews>
    <sheetView zoomScaleNormal="100" workbookViewId="0">
      <selection activeCell="I20" sqref="I20"/>
    </sheetView>
  </sheetViews>
  <sheetFormatPr defaultRowHeight="12.75"/>
  <cols>
    <col min="1" max="1" width="26.42578125" style="78" customWidth="1"/>
    <col min="2" max="2" width="9.42578125" style="78" customWidth="1"/>
    <col min="3" max="3" width="8.28515625" style="67" customWidth="1"/>
    <col min="4" max="4" width="13.5703125" style="67" customWidth="1"/>
    <col min="5" max="5" width="9.85546875" style="67" customWidth="1"/>
    <col min="6" max="6" width="13.7109375" style="67" customWidth="1"/>
    <col min="7" max="7" width="9.28515625" style="67" bestFit="1" customWidth="1"/>
    <col min="8" max="8" width="9.7109375" style="67" bestFit="1" customWidth="1"/>
    <col min="9" max="16384" width="9.140625" style="67"/>
  </cols>
  <sheetData>
    <row r="1" spans="1:10">
      <c r="E1" s="530" t="s">
        <v>293</v>
      </c>
      <c r="F1" s="530"/>
      <c r="G1" s="270"/>
      <c r="H1" s="11"/>
    </row>
    <row r="2" spans="1:10" ht="15" customHeight="1">
      <c r="A2" s="535" t="s">
        <v>202</v>
      </c>
      <c r="B2" s="535"/>
      <c r="C2" s="535"/>
      <c r="D2" s="535"/>
      <c r="E2" s="535"/>
      <c r="F2" s="535"/>
      <c r="G2" s="274"/>
      <c r="H2" s="11"/>
    </row>
    <row r="3" spans="1:10">
      <c r="G3" s="11"/>
      <c r="H3" s="11"/>
    </row>
    <row r="4" spans="1:10" ht="13.5" thickBot="1">
      <c r="G4" s="11"/>
      <c r="H4" s="11"/>
    </row>
    <row r="5" spans="1:10" s="79" customFormat="1" ht="114.75">
      <c r="A5" s="224"/>
      <c r="B5" s="311" t="s">
        <v>201</v>
      </c>
      <c r="C5" s="222" t="s">
        <v>177</v>
      </c>
      <c r="D5" s="222" t="s">
        <v>200</v>
      </c>
      <c r="E5" s="222" t="s">
        <v>112</v>
      </c>
      <c r="F5" s="222" t="s">
        <v>199</v>
      </c>
      <c r="G5" s="218" t="s">
        <v>341</v>
      </c>
      <c r="H5" s="219" t="s">
        <v>199</v>
      </c>
    </row>
    <row r="6" spans="1:10" s="327" customFormat="1">
      <c r="A6" s="321" t="s">
        <v>198</v>
      </c>
      <c r="B6" s="322" t="s">
        <v>190</v>
      </c>
      <c r="C6" s="323">
        <v>820</v>
      </c>
      <c r="D6" s="323">
        <v>23.71</v>
      </c>
      <c r="E6" s="323">
        <v>1</v>
      </c>
      <c r="F6" s="324">
        <f>ROUND(C6*D6*E6,2)</f>
        <v>19442.2</v>
      </c>
      <c r="G6" s="325">
        <v>1</v>
      </c>
      <c r="H6" s="326">
        <f>ROUND(F6*G6,2)</f>
        <v>19442.2</v>
      </c>
      <c r="J6" s="354">
        <f>F6+F7+F8+F9</f>
        <v>61644.930000000008</v>
      </c>
    </row>
    <row r="7" spans="1:10" s="327" customFormat="1">
      <c r="A7" s="321" t="s">
        <v>198</v>
      </c>
      <c r="B7" s="322" t="s">
        <v>190</v>
      </c>
      <c r="C7" s="323">
        <v>510</v>
      </c>
      <c r="D7" s="323">
        <v>24.17</v>
      </c>
      <c r="E7" s="323">
        <v>1</v>
      </c>
      <c r="F7" s="324">
        <f>ROUND(C7*D7*E7,2)+0.09</f>
        <v>12326.79</v>
      </c>
      <c r="G7" s="325">
        <v>1</v>
      </c>
      <c r="H7" s="326">
        <f t="shared" ref="H7:H22" si="0">ROUND(F7*G7,2)</f>
        <v>12326.79</v>
      </c>
    </row>
    <row r="8" spans="1:10" s="327" customFormat="1">
      <c r="A8" s="321" t="s">
        <v>197</v>
      </c>
      <c r="B8" s="322" t="s">
        <v>190</v>
      </c>
      <c r="C8" s="323">
        <v>1018.54</v>
      </c>
      <c r="D8" s="323">
        <v>15.26</v>
      </c>
      <c r="E8" s="323">
        <v>1</v>
      </c>
      <c r="F8" s="324">
        <f>ROUND(C8*D8*E8,2)</f>
        <v>15542.92</v>
      </c>
      <c r="G8" s="325">
        <v>1</v>
      </c>
      <c r="H8" s="326">
        <f t="shared" si="0"/>
        <v>15542.92</v>
      </c>
    </row>
    <row r="9" spans="1:10" s="327" customFormat="1">
      <c r="A9" s="321" t="s">
        <v>197</v>
      </c>
      <c r="B9" s="322" t="s">
        <v>190</v>
      </c>
      <c r="C9" s="323">
        <v>915.84</v>
      </c>
      <c r="D9" s="323">
        <v>15.65</v>
      </c>
      <c r="E9" s="323">
        <v>1</v>
      </c>
      <c r="F9" s="324">
        <f>ROUND(C9*D9*E9,2)+0.12</f>
        <v>14333.02</v>
      </c>
      <c r="G9" s="325">
        <v>1</v>
      </c>
      <c r="H9" s="326">
        <f t="shared" si="0"/>
        <v>14333.02</v>
      </c>
    </row>
    <row r="10" spans="1:10" s="327" customFormat="1" ht="12.75" customHeight="1">
      <c r="A10" s="328" t="s">
        <v>196</v>
      </c>
      <c r="B10" s="329" t="s">
        <v>190</v>
      </c>
      <c r="C10" s="323">
        <v>269.7</v>
      </c>
      <c r="D10" s="323">
        <v>23.71</v>
      </c>
      <c r="E10" s="323">
        <v>1</v>
      </c>
      <c r="F10" s="324">
        <f t="shared" ref="F10:F17" si="1">ROUND(C10*D10*E10,2)</f>
        <v>6394.59</v>
      </c>
      <c r="G10" s="325">
        <v>1</v>
      </c>
      <c r="H10" s="326">
        <f t="shared" si="0"/>
        <v>6394.59</v>
      </c>
      <c r="J10" s="353">
        <f>F10+F18+F11</f>
        <v>52387.75</v>
      </c>
    </row>
    <row r="11" spans="1:10" s="327" customFormat="1" ht="12.75" customHeight="1">
      <c r="A11" s="328" t="s">
        <v>196</v>
      </c>
      <c r="B11" s="329" t="s">
        <v>190</v>
      </c>
      <c r="C11" s="323">
        <v>323.7</v>
      </c>
      <c r="D11" s="323">
        <v>24.17</v>
      </c>
      <c r="E11" s="323">
        <v>1</v>
      </c>
      <c r="F11" s="324">
        <f t="shared" si="1"/>
        <v>7823.83</v>
      </c>
      <c r="G11" s="325">
        <v>1</v>
      </c>
      <c r="H11" s="326">
        <f t="shared" si="0"/>
        <v>7823.83</v>
      </c>
    </row>
    <row r="12" spans="1:10" s="327" customFormat="1" ht="12.75" hidden="1" customHeight="1">
      <c r="A12" s="328" t="s">
        <v>196</v>
      </c>
      <c r="B12" s="329" t="s">
        <v>190</v>
      </c>
      <c r="C12" s="323"/>
      <c r="D12" s="323"/>
      <c r="E12" s="323">
        <v>1</v>
      </c>
      <c r="F12" s="324">
        <f t="shared" si="1"/>
        <v>0</v>
      </c>
      <c r="G12" s="325">
        <v>1</v>
      </c>
      <c r="H12" s="326">
        <f t="shared" si="0"/>
        <v>0</v>
      </c>
    </row>
    <row r="13" spans="1:10" s="327" customFormat="1" ht="12.75" hidden="1" customHeight="1">
      <c r="A13" s="328" t="s">
        <v>196</v>
      </c>
      <c r="B13" s="329" t="s">
        <v>190</v>
      </c>
      <c r="C13" s="323"/>
      <c r="D13" s="323"/>
      <c r="E13" s="323">
        <v>1</v>
      </c>
      <c r="F13" s="324">
        <f t="shared" si="1"/>
        <v>0</v>
      </c>
      <c r="G13" s="325">
        <v>1</v>
      </c>
      <c r="H13" s="326">
        <f t="shared" si="0"/>
        <v>0</v>
      </c>
    </row>
    <row r="14" spans="1:10" s="327" customFormat="1" ht="12.75" hidden="1" customHeight="1">
      <c r="A14" s="328" t="s">
        <v>196</v>
      </c>
      <c r="B14" s="329" t="s">
        <v>190</v>
      </c>
      <c r="C14" s="330"/>
      <c r="D14" s="323"/>
      <c r="E14" s="323">
        <v>1</v>
      </c>
      <c r="F14" s="324">
        <f t="shared" si="1"/>
        <v>0</v>
      </c>
      <c r="G14" s="325">
        <v>1</v>
      </c>
      <c r="H14" s="326">
        <f t="shared" si="0"/>
        <v>0</v>
      </c>
    </row>
    <row r="15" spans="1:10" s="327" customFormat="1" ht="12.75" hidden="1" customHeight="1">
      <c r="A15" s="328" t="s">
        <v>196</v>
      </c>
      <c r="B15" s="329" t="s">
        <v>190</v>
      </c>
      <c r="C15" s="323"/>
      <c r="D15" s="323"/>
      <c r="E15" s="323">
        <v>1</v>
      </c>
      <c r="F15" s="324">
        <f t="shared" si="1"/>
        <v>0</v>
      </c>
      <c r="G15" s="325">
        <v>1</v>
      </c>
      <c r="H15" s="326">
        <f t="shared" si="0"/>
        <v>0</v>
      </c>
    </row>
    <row r="16" spans="1:10" s="327" customFormat="1" ht="12.75" hidden="1" customHeight="1">
      <c r="A16" s="328" t="s">
        <v>196</v>
      </c>
      <c r="B16" s="329" t="s">
        <v>190</v>
      </c>
      <c r="C16" s="323"/>
      <c r="D16" s="323"/>
      <c r="E16" s="323">
        <v>1</v>
      </c>
      <c r="F16" s="324">
        <f t="shared" si="1"/>
        <v>0</v>
      </c>
      <c r="G16" s="325">
        <v>1</v>
      </c>
      <c r="H16" s="326">
        <f t="shared" si="0"/>
        <v>0</v>
      </c>
    </row>
    <row r="17" spans="1:81" s="327" customFormat="1" ht="12.75" customHeight="1">
      <c r="A17" s="328" t="s">
        <v>196</v>
      </c>
      <c r="B17" s="329" t="s">
        <v>190</v>
      </c>
      <c r="C17" s="323"/>
      <c r="D17" s="323"/>
      <c r="E17" s="323">
        <v>1</v>
      </c>
      <c r="F17" s="324">
        <f t="shared" si="1"/>
        <v>0</v>
      </c>
      <c r="G17" s="325">
        <v>1</v>
      </c>
      <c r="H17" s="326">
        <f t="shared" si="0"/>
        <v>0</v>
      </c>
    </row>
    <row r="18" spans="1:81" s="327" customFormat="1" ht="12.75" customHeight="1">
      <c r="A18" s="328" t="s">
        <v>377</v>
      </c>
      <c r="B18" s="329" t="s">
        <v>194</v>
      </c>
      <c r="C18" s="323">
        <v>24.13</v>
      </c>
      <c r="D18" s="323">
        <v>1581.82</v>
      </c>
      <c r="E18" s="323">
        <v>1</v>
      </c>
      <c r="F18" s="324">
        <f>ROUND(C18*D18*E18,2)+0.01</f>
        <v>38169.33</v>
      </c>
      <c r="G18" s="325">
        <v>1</v>
      </c>
      <c r="H18" s="326">
        <f t="shared" si="0"/>
        <v>38169.33</v>
      </c>
    </row>
    <row r="19" spans="1:81" s="327" customFormat="1">
      <c r="A19" s="328" t="s">
        <v>377</v>
      </c>
      <c r="B19" s="329" t="s">
        <v>194</v>
      </c>
      <c r="C19" s="323">
        <v>16.024999999999999</v>
      </c>
      <c r="D19" s="323">
        <v>1648.07</v>
      </c>
      <c r="E19" s="323">
        <v>1</v>
      </c>
      <c r="F19" s="324">
        <f>ROUND(C19*D19*E19,2)-0.23</f>
        <v>26410.09</v>
      </c>
      <c r="G19" s="325">
        <v>1</v>
      </c>
      <c r="H19" s="326">
        <f t="shared" si="0"/>
        <v>26410.09</v>
      </c>
    </row>
    <row r="20" spans="1:81" s="327" customFormat="1" ht="12.75" customHeight="1">
      <c r="A20" s="328" t="s">
        <v>195</v>
      </c>
      <c r="B20" s="329" t="s">
        <v>194</v>
      </c>
      <c r="C20" s="330">
        <v>548.55899999999997</v>
      </c>
      <c r="D20" s="323">
        <v>1581.82</v>
      </c>
      <c r="E20" s="323">
        <v>1</v>
      </c>
      <c r="F20" s="324">
        <f>ROUND(C20*D20*E20,2)</f>
        <v>867721.6</v>
      </c>
      <c r="G20" s="325">
        <v>0.5</v>
      </c>
      <c r="H20" s="326">
        <f>ROUND(F20*G20,2)</f>
        <v>433860.8</v>
      </c>
    </row>
    <row r="21" spans="1:81" s="327" customFormat="1">
      <c r="A21" s="328" t="s">
        <v>195</v>
      </c>
      <c r="B21" s="329" t="s">
        <v>194</v>
      </c>
      <c r="C21" s="330">
        <v>97.820999999999998</v>
      </c>
      <c r="D21" s="323">
        <v>1648.07</v>
      </c>
      <c r="E21" s="323">
        <v>1</v>
      </c>
      <c r="F21" s="324">
        <f>ROUND(C21*D21*E21,2)</f>
        <v>161215.85999999999</v>
      </c>
      <c r="G21" s="325">
        <v>0.5</v>
      </c>
      <c r="H21" s="326">
        <f>ROUND(F21*G21,2)</f>
        <v>80607.929999999993</v>
      </c>
    </row>
    <row r="22" spans="1:81" s="327" customFormat="1">
      <c r="A22" s="328" t="s">
        <v>193</v>
      </c>
      <c r="B22" s="329" t="s">
        <v>192</v>
      </c>
      <c r="C22" s="323">
        <v>51040</v>
      </c>
      <c r="D22" s="330">
        <v>324973.59999999998</v>
      </c>
      <c r="E22" s="323">
        <v>1</v>
      </c>
      <c r="F22" s="324">
        <f>ROUND(D22*E22,2)</f>
        <v>324973.59999999998</v>
      </c>
      <c r="G22" s="325">
        <v>0.9</v>
      </c>
      <c r="H22" s="326">
        <f t="shared" si="0"/>
        <v>292476.24</v>
      </c>
    </row>
    <row r="23" spans="1:81" ht="13.5" thickBot="1">
      <c r="A23" s="30" t="s">
        <v>287</v>
      </c>
      <c r="B23" s="304"/>
      <c r="C23" s="85"/>
      <c r="D23" s="312"/>
      <c r="E23" s="85">
        <v>1</v>
      </c>
      <c r="F23" s="313">
        <f>ROUND(D23*E23,2)</f>
        <v>0</v>
      </c>
      <c r="G23" s="305">
        <v>1</v>
      </c>
      <c r="H23" s="306">
        <f>ROUND(F23*G23,2)</f>
        <v>0</v>
      </c>
    </row>
    <row r="24" spans="1:81" ht="39" hidden="1" customHeight="1" thickBot="1">
      <c r="A24" s="307" t="s">
        <v>191</v>
      </c>
      <c r="B24" s="308" t="s">
        <v>190</v>
      </c>
      <c r="C24" s="309"/>
      <c r="D24" s="309"/>
      <c r="E24" s="309"/>
      <c r="F24" s="310">
        <f>ROUND(C24*D24*E24,2)</f>
        <v>0</v>
      </c>
      <c r="G24" s="276"/>
      <c r="H24" s="11"/>
    </row>
    <row r="25" spans="1:81">
      <c r="F25" s="175"/>
      <c r="G25" s="277"/>
      <c r="H25" s="11"/>
    </row>
    <row r="26" spans="1:81">
      <c r="C26" s="84"/>
      <c r="G26" s="11"/>
      <c r="H26" s="11"/>
    </row>
    <row r="27" spans="1:81" s="11" customFormat="1">
      <c r="A27" s="15" t="str">
        <f ca="1">свод!A119</f>
        <v>Директор МБОУ "Кадетская школа № 46 г. Пензы"</v>
      </c>
      <c r="B27" s="71"/>
      <c r="C27" s="215"/>
      <c r="D27" s="215"/>
      <c r="E27" s="16" t="str">
        <f ca="1">свод!E119</f>
        <v>В.А.Борисов</v>
      </c>
      <c r="F27" s="15"/>
      <c r="G27" s="277"/>
      <c r="I27" s="12"/>
      <c r="J27" s="12"/>
    </row>
    <row r="28" spans="1:81" s="11" customFormat="1">
      <c r="A28" s="68"/>
      <c r="B28" s="68"/>
      <c r="C28" s="68"/>
      <c r="D28" s="68"/>
      <c r="E28" s="14"/>
      <c r="I28" s="12"/>
      <c r="J28" s="35"/>
    </row>
    <row r="29" spans="1:81" s="11" customFormat="1">
      <c r="A29" s="11" t="str">
        <f ca="1">свод!A121</f>
        <v xml:space="preserve">Гл.бухгалтер  </v>
      </c>
      <c r="B29" s="68"/>
      <c r="C29" s="216"/>
      <c r="D29" s="216"/>
      <c r="E29" s="14" t="str">
        <f ca="1">свод!E121</f>
        <v>Н.Е.Нелюбова</v>
      </c>
      <c r="G29" s="13"/>
      <c r="H29" s="13"/>
      <c r="I29" s="12"/>
      <c r="J29" s="12"/>
    </row>
    <row r="30" spans="1:81" s="68" customFormat="1"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</row>
  </sheetData>
  <mergeCells count="2">
    <mergeCell ref="A2:F2"/>
    <mergeCell ref="E1:F1"/>
  </mergeCells>
  <phoneticPr fontId="0" type="noConversion"/>
  <pageMargins left="0" right="0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SheetLayoutView="100" workbookViewId="0">
      <selection activeCell="F9" sqref="F9"/>
    </sheetView>
  </sheetViews>
  <sheetFormatPr defaultRowHeight="12.75"/>
  <cols>
    <col min="1" max="1" width="18.7109375" style="67" customWidth="1"/>
    <col min="2" max="2" width="15" style="67" bestFit="1" customWidth="1"/>
    <col min="3" max="3" width="10" style="67" customWidth="1"/>
    <col min="4" max="4" width="13.140625" style="67" customWidth="1"/>
    <col min="5" max="5" width="7.85546875" style="67" customWidth="1"/>
    <col min="6" max="6" width="10.85546875" style="67" customWidth="1"/>
    <col min="7" max="7" width="8" style="67" customWidth="1"/>
    <col min="8" max="8" width="9.28515625" style="67" customWidth="1"/>
    <col min="9" max="16384" width="9.140625" style="67"/>
  </cols>
  <sheetData>
    <row r="1" spans="1:10" ht="15">
      <c r="D1" s="530" t="s">
        <v>207</v>
      </c>
      <c r="E1" s="538"/>
      <c r="F1" s="272"/>
    </row>
    <row r="2" spans="1:10" ht="18.75">
      <c r="A2" s="528" t="s">
        <v>206</v>
      </c>
      <c r="B2" s="530"/>
      <c r="C2" s="530"/>
      <c r="D2" s="530"/>
    </row>
    <row r="3" spans="1:10" ht="18.75">
      <c r="A3" s="271"/>
      <c r="B3" s="272"/>
      <c r="C3" s="272"/>
      <c r="D3" s="272"/>
    </row>
    <row r="4" spans="1:10" ht="19.5" thickBot="1">
      <c r="A4" s="271"/>
      <c r="B4" s="272"/>
      <c r="C4" s="272"/>
      <c r="D4" s="272"/>
    </row>
    <row r="5" spans="1:10" s="87" customFormat="1" ht="42" customHeight="1">
      <c r="A5" s="217" t="s">
        <v>291</v>
      </c>
      <c r="B5" s="218" t="s">
        <v>289</v>
      </c>
      <c r="C5" s="218" t="s">
        <v>290</v>
      </c>
      <c r="D5" s="219" t="s">
        <v>206</v>
      </c>
    </row>
    <row r="6" spans="1:10">
      <c r="A6" s="86" t="s">
        <v>205</v>
      </c>
      <c r="B6" s="279">
        <v>23070727.27</v>
      </c>
      <c r="C6" s="280">
        <v>2.1999999999999999E-2</v>
      </c>
      <c r="D6" s="281">
        <f>ROUND(B6*C6,0)</f>
        <v>507556</v>
      </c>
    </row>
    <row r="7" spans="1:10" ht="13.5" thickBot="1">
      <c r="A7" s="252" t="s">
        <v>292</v>
      </c>
      <c r="B7" s="284">
        <v>24970645</v>
      </c>
      <c r="C7" s="320">
        <v>1.4999999999999999E-2</v>
      </c>
      <c r="D7" s="286">
        <f>ROUND(B7*C7,0)</f>
        <v>374560</v>
      </c>
    </row>
    <row r="8" spans="1:10">
      <c r="A8" s="253" t="s">
        <v>325</v>
      </c>
      <c r="B8" s="282"/>
      <c r="C8" s="283"/>
      <c r="D8" s="281">
        <f>ROUND(B8*C8,0)</f>
        <v>0</v>
      </c>
    </row>
    <row r="9" spans="1:10">
      <c r="A9" s="253" t="s">
        <v>324</v>
      </c>
      <c r="B9" s="282"/>
      <c r="C9" s="283"/>
      <c r="D9" s="281">
        <f>ROUND(B9*C9,0)</f>
        <v>0</v>
      </c>
    </row>
    <row r="10" spans="1:10" ht="13.5" thickBot="1">
      <c r="A10" s="252" t="s">
        <v>288</v>
      </c>
      <c r="B10" s="284">
        <v>135</v>
      </c>
      <c r="C10" s="285">
        <v>42</v>
      </c>
      <c r="D10" s="286">
        <f>ROUND(B10*C10,0)</f>
        <v>5670</v>
      </c>
    </row>
    <row r="11" spans="1:10">
      <c r="D11" s="220">
        <f>D6+D7+D10</f>
        <v>887786</v>
      </c>
    </row>
    <row r="12" spans="1:10" ht="15.75">
      <c r="A12" s="539" t="s">
        <v>202</v>
      </c>
      <c r="B12" s="539"/>
      <c r="C12" s="539"/>
      <c r="D12" s="539"/>
      <c r="E12" s="539"/>
      <c r="F12" s="539"/>
      <c r="G12" s="274"/>
      <c r="H12" s="11"/>
    </row>
    <row r="13" spans="1:10" s="11" customFormat="1">
      <c r="A13" s="60"/>
      <c r="B13" s="60"/>
      <c r="I13" s="12"/>
      <c r="J13" s="12"/>
    </row>
    <row r="14" spans="1:10" s="11" customFormat="1" ht="13.5" thickBot="1">
      <c r="A14" s="60"/>
      <c r="B14" s="60"/>
      <c r="I14" s="12"/>
      <c r="J14" s="35"/>
    </row>
    <row r="15" spans="1:10" s="11" customFormat="1" ht="127.5">
      <c r="A15" s="233"/>
      <c r="B15" s="234" t="s">
        <v>201</v>
      </c>
      <c r="C15" s="218" t="s">
        <v>177</v>
      </c>
      <c r="D15" s="218" t="s">
        <v>200</v>
      </c>
      <c r="E15" s="218" t="s">
        <v>112</v>
      </c>
      <c r="F15" s="218" t="s">
        <v>342</v>
      </c>
      <c r="G15" s="218" t="s">
        <v>343</v>
      </c>
      <c r="H15" s="219" t="s">
        <v>199</v>
      </c>
      <c r="I15" s="12"/>
      <c r="J15" s="12"/>
    </row>
    <row r="16" spans="1:10" hidden="1">
      <c r="A16" s="32" t="s">
        <v>195</v>
      </c>
      <c r="B16" s="278" t="s">
        <v>194</v>
      </c>
      <c r="C16" s="278"/>
      <c r="D16" s="278"/>
      <c r="E16" s="278">
        <v>1</v>
      </c>
      <c r="F16" s="303">
        <f>ROUND(C16*D16*E16,2)</f>
        <v>0</v>
      </c>
      <c r="G16" s="303">
        <v>0.5</v>
      </c>
      <c r="H16" s="275">
        <f>F16*G16</f>
        <v>0</v>
      </c>
    </row>
    <row r="17" spans="1:8" hidden="1">
      <c r="A17" s="32" t="s">
        <v>195</v>
      </c>
      <c r="B17" s="278" t="s">
        <v>194</v>
      </c>
      <c r="C17" s="278"/>
      <c r="D17" s="278"/>
      <c r="E17" s="278">
        <v>1</v>
      </c>
      <c r="F17" s="303">
        <f>ROUND(C17*D17*E17,2)</f>
        <v>0</v>
      </c>
      <c r="G17" s="303">
        <v>0.5</v>
      </c>
      <c r="H17" s="275">
        <f>F17*G17</f>
        <v>0</v>
      </c>
    </row>
    <row r="18" spans="1:8">
      <c r="A18" s="32" t="s">
        <v>195</v>
      </c>
      <c r="B18" s="278" t="s">
        <v>194</v>
      </c>
      <c r="C18" s="278">
        <v>548.55899999999997</v>
      </c>
      <c r="D18" s="278">
        <v>1581.82</v>
      </c>
      <c r="E18" s="278">
        <v>1</v>
      </c>
      <c r="F18" s="303">
        <f>ROUND(C18*D18*E18,2)</f>
        <v>867721.6</v>
      </c>
      <c r="G18" s="303">
        <v>0.5</v>
      </c>
      <c r="H18" s="275">
        <f>F18*G18</f>
        <v>433860.8</v>
      </c>
    </row>
    <row r="19" spans="1:8">
      <c r="A19" s="32" t="s">
        <v>195</v>
      </c>
      <c r="B19" s="278" t="s">
        <v>194</v>
      </c>
      <c r="C19" s="180">
        <v>97.820999999999998</v>
      </c>
      <c r="D19" s="278">
        <v>1648.07</v>
      </c>
      <c r="E19" s="278">
        <v>1</v>
      </c>
      <c r="F19" s="303">
        <f>ROUND(C19*D19*E19,2)</f>
        <v>161215.85999999999</v>
      </c>
      <c r="G19" s="303">
        <v>0.5</v>
      </c>
      <c r="H19" s="275">
        <f>F19*G19-0.01</f>
        <v>80607.92</v>
      </c>
    </row>
    <row r="20" spans="1:8" ht="13.5" thickBot="1">
      <c r="A20" s="30" t="s">
        <v>193</v>
      </c>
      <c r="B20" s="304" t="s">
        <v>192</v>
      </c>
      <c r="C20" s="304">
        <v>51040</v>
      </c>
      <c r="D20" s="304">
        <v>324973.59999999998</v>
      </c>
      <c r="E20" s="304">
        <v>1</v>
      </c>
      <c r="F20" s="305">
        <f>ROUND(D20*E20,2)</f>
        <v>324973.59999999998</v>
      </c>
      <c r="G20" s="305">
        <v>0.1</v>
      </c>
      <c r="H20" s="306">
        <f>F20*G20</f>
        <v>32497.360000000001</v>
      </c>
    </row>
    <row r="22" spans="1:8" ht="15">
      <c r="A22" s="15" t="str">
        <f ca="1">свод!A119</f>
        <v>Директор МБОУ "Кадетская школа № 46 г. Пензы"</v>
      </c>
      <c r="B22" s="71"/>
      <c r="C22" s="215"/>
      <c r="D22" s="536" t="str">
        <f ca="1">свод!E119</f>
        <v>В.А.Борисов</v>
      </c>
      <c r="E22" s="537"/>
      <c r="F22" s="15"/>
      <c r="G22" s="13"/>
      <c r="H22" s="12"/>
    </row>
    <row r="23" spans="1:8">
      <c r="A23" s="68"/>
      <c r="B23" s="68"/>
      <c r="C23" s="68"/>
      <c r="D23" s="68"/>
      <c r="E23" s="14"/>
      <c r="F23" s="11"/>
      <c r="G23" s="13"/>
      <c r="H23" s="12"/>
    </row>
    <row r="24" spans="1:8" ht="15">
      <c r="A24" s="11" t="str">
        <f ca="1">свод!A121</f>
        <v xml:space="preserve">Гл.бухгалтер  </v>
      </c>
      <c r="B24" s="68"/>
      <c r="C24" s="216" t="s">
        <v>381</v>
      </c>
      <c r="D24" s="536" t="str">
        <f ca="1">свод!E121</f>
        <v>Н.Е.Нелюбова</v>
      </c>
      <c r="E24" s="537"/>
      <c r="F24" s="11"/>
      <c r="G24" s="13"/>
      <c r="H24" s="12"/>
    </row>
  </sheetData>
  <mergeCells count="5">
    <mergeCell ref="D22:E22"/>
    <mergeCell ref="D24:E24"/>
    <mergeCell ref="A2:D2"/>
    <mergeCell ref="D1:E1"/>
    <mergeCell ref="A12:F12"/>
  </mergeCells>
  <phoneticPr fontId="0" type="noConversion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7"/>
  <sheetViews>
    <sheetView topLeftCell="A16" zoomScaleNormal="100" workbookViewId="0">
      <selection activeCell="E48" sqref="E48"/>
    </sheetView>
  </sheetViews>
  <sheetFormatPr defaultRowHeight="12.75"/>
  <cols>
    <col min="1" max="2" width="7.5703125" style="67" customWidth="1"/>
    <col min="3" max="3" width="15.5703125" style="67" customWidth="1"/>
    <col min="4" max="4" width="18.140625" style="67" customWidth="1"/>
    <col min="5" max="5" width="15.140625" style="67" customWidth="1"/>
    <col min="6" max="6" width="8" style="67" customWidth="1"/>
    <col min="7" max="7" width="13.42578125" style="67" bestFit="1" customWidth="1"/>
    <col min="8" max="8" width="13.85546875" style="67" customWidth="1"/>
    <col min="9" max="9" width="13.42578125" style="67" customWidth="1"/>
    <col min="10" max="10" width="10.7109375" style="67" bestFit="1" customWidth="1"/>
    <col min="11" max="13" width="9.140625" style="67"/>
    <col min="14" max="14" width="10.140625" style="67" bestFit="1" customWidth="1"/>
    <col min="15" max="20" width="9.140625" style="67"/>
    <col min="21" max="21" width="26.7109375" style="67" customWidth="1"/>
    <col min="22" max="16384" width="9.140625" style="67"/>
  </cols>
  <sheetData>
    <row r="1" spans="1:20" ht="15.75">
      <c r="F1" s="70"/>
      <c r="G1" s="70"/>
      <c r="H1" s="70"/>
      <c r="I1" s="69" t="s">
        <v>256</v>
      </c>
      <c r="J1" s="69"/>
      <c r="K1" s="69"/>
      <c r="L1" s="69"/>
      <c r="M1" s="69"/>
      <c r="N1" s="161"/>
      <c r="O1" s="69"/>
      <c r="P1" s="69"/>
      <c r="Q1" s="161"/>
      <c r="R1" s="161"/>
    </row>
    <row r="2" spans="1:20" ht="18">
      <c r="A2" s="542" t="s">
        <v>251</v>
      </c>
      <c r="B2" s="542"/>
      <c r="C2" s="542"/>
      <c r="D2" s="542"/>
      <c r="E2" s="542"/>
      <c r="F2" s="70"/>
      <c r="G2" s="70"/>
      <c r="H2" s="70"/>
      <c r="I2" s="540" t="s">
        <v>253</v>
      </c>
      <c r="J2" s="540"/>
      <c r="K2" s="540" t="s">
        <v>252</v>
      </c>
      <c r="L2" s="540"/>
      <c r="M2" s="540" t="s">
        <v>254</v>
      </c>
      <c r="N2" s="540"/>
      <c r="O2" s="69"/>
      <c r="R2" s="69" t="s">
        <v>339</v>
      </c>
      <c r="S2" s="69"/>
    </row>
    <row r="3" spans="1:20">
      <c r="F3" s="70"/>
      <c r="G3" s="70"/>
      <c r="H3" s="70"/>
      <c r="I3" s="69" t="s">
        <v>340</v>
      </c>
      <c r="J3" s="67" t="s">
        <v>338</v>
      </c>
      <c r="K3" s="69" t="s">
        <v>340</v>
      </c>
      <c r="L3" s="67" t="s">
        <v>338</v>
      </c>
      <c r="M3" s="69" t="s">
        <v>340</v>
      </c>
      <c r="N3" s="67" t="s">
        <v>338</v>
      </c>
      <c r="O3" s="69" t="s">
        <v>255</v>
      </c>
      <c r="P3" s="69"/>
      <c r="R3" s="173" t="s">
        <v>257</v>
      </c>
      <c r="S3" s="173" t="s">
        <v>252</v>
      </c>
      <c r="T3" s="173" t="s">
        <v>254</v>
      </c>
    </row>
    <row r="4" spans="1:20" ht="18.75">
      <c r="E4" s="334">
        <f>I4+J4+K4+L4+M4+N4+O4</f>
        <v>606</v>
      </c>
      <c r="F4" s="70"/>
      <c r="G4" s="70" t="s">
        <v>248</v>
      </c>
      <c r="H4" s="70"/>
      <c r="I4" s="159">
        <v>291</v>
      </c>
      <c r="J4" s="159">
        <v>0</v>
      </c>
      <c r="K4" s="159">
        <v>269</v>
      </c>
      <c r="L4" s="159">
        <v>0</v>
      </c>
      <c r="M4" s="159">
        <v>46</v>
      </c>
      <c r="N4" s="159">
        <v>0</v>
      </c>
      <c r="O4" s="159">
        <f>R4</f>
        <v>0</v>
      </c>
      <c r="P4" s="172"/>
      <c r="Q4" s="69"/>
      <c r="R4" s="176">
        <v>0</v>
      </c>
      <c r="S4" s="176">
        <v>0</v>
      </c>
      <c r="T4" s="176">
        <v>0</v>
      </c>
    </row>
    <row r="5" spans="1:20">
      <c r="A5" s="75" t="s">
        <v>131</v>
      </c>
      <c r="B5" s="75" t="s">
        <v>250</v>
      </c>
      <c r="C5" s="75" t="s">
        <v>249</v>
      </c>
      <c r="D5" s="75" t="s">
        <v>111</v>
      </c>
      <c r="E5" s="75" t="s">
        <v>248</v>
      </c>
      <c r="F5" s="70"/>
      <c r="G5" s="70"/>
      <c r="H5" s="70"/>
      <c r="I5" s="267"/>
      <c r="J5" s="267"/>
      <c r="K5" s="267"/>
      <c r="L5" s="267"/>
      <c r="M5" s="267"/>
      <c r="N5" s="267"/>
      <c r="O5" s="267"/>
      <c r="P5" s="69"/>
      <c r="Q5" s="69"/>
      <c r="R5" s="173"/>
      <c r="S5" s="173"/>
      <c r="T5" s="173"/>
    </row>
    <row r="6" spans="1:20" s="164" customFormat="1">
      <c r="A6" s="170"/>
      <c r="B6" s="170"/>
      <c r="C6" s="171">
        <f>SUM(C16:C31)</f>
        <v>21024165.490000002</v>
      </c>
      <c r="D6" s="171">
        <f ca="1">SUM(D16:D31)</f>
        <v>21024165.490000002</v>
      </c>
      <c r="E6" s="171">
        <f ca="1">SUM(E16:E31)</f>
        <v>0</v>
      </c>
      <c r="F6" s="166"/>
      <c r="G6" s="166"/>
      <c r="H6" s="166"/>
      <c r="I6" s="176">
        <v>0</v>
      </c>
      <c r="J6" s="176">
        <v>0</v>
      </c>
      <c r="K6" s="176">
        <v>4</v>
      </c>
      <c r="L6" s="176">
        <v>0</v>
      </c>
      <c r="M6" s="176">
        <v>1</v>
      </c>
      <c r="N6" s="176">
        <v>0</v>
      </c>
      <c r="O6" s="176">
        <v>0</v>
      </c>
      <c r="P6" s="69" t="s">
        <v>262</v>
      </c>
      <c r="Q6" s="69"/>
      <c r="R6" s="173"/>
      <c r="S6" s="173"/>
      <c r="T6" s="173"/>
    </row>
    <row r="7" spans="1:20" s="164" customFormat="1">
      <c r="A7" s="170">
        <v>211</v>
      </c>
      <c r="B7" s="169" t="s">
        <v>247</v>
      </c>
      <c r="C7" s="168">
        <v>12772598</v>
      </c>
      <c r="D7" s="333">
        <f ca="1">свод!F21+свод!F34</f>
        <v>12772598</v>
      </c>
      <c r="E7" s="333">
        <f t="shared" ref="E7:E31" si="0">C7-D7</f>
        <v>0</v>
      </c>
      <c r="F7" s="70"/>
      <c r="G7" s="70"/>
      <c r="H7" s="70"/>
      <c r="I7" s="173">
        <v>2771.1</v>
      </c>
      <c r="J7" s="173"/>
      <c r="K7" s="173">
        <v>3576.45</v>
      </c>
      <c r="L7" s="173"/>
      <c r="M7" s="173">
        <v>3755.42</v>
      </c>
      <c r="N7" s="173"/>
      <c r="O7" s="173"/>
      <c r="P7" s="69" t="s">
        <v>261</v>
      </c>
      <c r="Q7" s="69"/>
      <c r="R7" s="173"/>
      <c r="S7" s="173"/>
      <c r="T7" s="173"/>
    </row>
    <row r="8" spans="1:20" s="164" customFormat="1">
      <c r="A8" s="170">
        <v>213</v>
      </c>
      <c r="B8" s="169" t="s">
        <v>247</v>
      </c>
      <c r="C8" s="168">
        <v>3834827.87</v>
      </c>
      <c r="D8" s="333">
        <f ca="1">свод!F36+свод!F22-D15</f>
        <v>3834827.87</v>
      </c>
      <c r="E8" s="333">
        <f t="shared" si="0"/>
        <v>0</v>
      </c>
      <c r="F8" s="165"/>
      <c r="G8" s="165"/>
      <c r="H8" s="165">
        <f>I8*$I$4+J8*$J$4+K8*$K$4+L8*$L$4+M8*$M$4+N8*$N$4+O8*$O$4</f>
        <v>12301132.9</v>
      </c>
      <c r="I8" s="133">
        <v>16238.4</v>
      </c>
      <c r="J8" s="133">
        <v>37320</v>
      </c>
      <c r="K8" s="133">
        <v>23534.9</v>
      </c>
      <c r="L8" s="133">
        <v>61758.400000000001</v>
      </c>
      <c r="M8" s="133">
        <v>27062.400000000001</v>
      </c>
      <c r="N8" s="133">
        <v>97628</v>
      </c>
      <c r="O8" s="133">
        <f>IF(O4=0,0,ROUND((R8*R4+S8*S4+T8*T4)/O4,0))</f>
        <v>0</v>
      </c>
      <c r="P8" s="69" t="s">
        <v>259</v>
      </c>
      <c r="Q8" s="69"/>
      <c r="R8" s="173">
        <v>37320</v>
      </c>
      <c r="S8" s="173">
        <v>61758.400000000001</v>
      </c>
      <c r="T8" s="173">
        <v>97628</v>
      </c>
    </row>
    <row r="9" spans="1:20" s="164" customFormat="1">
      <c r="A9" s="170">
        <v>221</v>
      </c>
      <c r="B9" s="169" t="s">
        <v>247</v>
      </c>
      <c r="C9" s="168">
        <v>112577</v>
      </c>
      <c r="D9" s="167">
        <f ca="1">'пр.1+2 '!D48:'пр.1+2 '!C48</f>
        <v>112577</v>
      </c>
      <c r="E9" s="162">
        <f t="shared" ca="1" si="0"/>
        <v>0</v>
      </c>
      <c r="F9" s="165"/>
      <c r="G9" s="165"/>
      <c r="H9" s="165">
        <f>I9*$I$4+J9*$J$4+K9*$K$4+L9*$L$4+M9*$M$4+N9*$N$4+O9*$O$4</f>
        <v>4610752.4000000004</v>
      </c>
      <c r="I9" s="133">
        <v>6045.4000000000005</v>
      </c>
      <c r="J9" s="133">
        <v>14160.8</v>
      </c>
      <c r="K9" s="133">
        <v>8854.2000000000007</v>
      </c>
      <c r="L9" s="133">
        <v>23568.399999999998</v>
      </c>
      <c r="M9" s="133">
        <v>10212.200000000001</v>
      </c>
      <c r="N9" s="133">
        <v>37376.5</v>
      </c>
      <c r="O9" s="133">
        <f>IF(O4=0,0,ROUND((R9*R4+S9*S4+T9*T4)/O4,0))</f>
        <v>0</v>
      </c>
      <c r="P9" s="69" t="s">
        <v>260</v>
      </c>
      <c r="Q9" s="69"/>
      <c r="R9" s="173"/>
      <c r="S9" s="173">
        <v>23568.399999999998</v>
      </c>
      <c r="T9" s="173">
        <v>37376.5</v>
      </c>
    </row>
    <row r="10" spans="1:20" s="164" customFormat="1">
      <c r="A10" s="170">
        <v>226</v>
      </c>
      <c r="B10" s="169" t="s">
        <v>247</v>
      </c>
      <c r="C10" s="174">
        <v>22222</v>
      </c>
      <c r="D10" s="167">
        <f ca="1">'пр.1+2 '!D46:E46</f>
        <v>22222</v>
      </c>
      <c r="E10" s="162">
        <f t="shared" si="0"/>
        <v>0</v>
      </c>
      <c r="F10" s="165">
        <f>ROUND(C10/$E$4,2)</f>
        <v>36.67</v>
      </c>
      <c r="G10" s="165"/>
      <c r="H10" s="165"/>
      <c r="I10" s="67">
        <f>$F$10</f>
        <v>36.67</v>
      </c>
      <c r="J10" s="67">
        <f t="shared" ref="J10:O10" si="1">$F$10</f>
        <v>36.67</v>
      </c>
      <c r="K10" s="67">
        <f t="shared" si="1"/>
        <v>36.67</v>
      </c>
      <c r="L10" s="67">
        <f t="shared" si="1"/>
        <v>36.67</v>
      </c>
      <c r="M10" s="67">
        <f t="shared" si="1"/>
        <v>36.67</v>
      </c>
      <c r="N10" s="67">
        <f t="shared" si="1"/>
        <v>36.67</v>
      </c>
      <c r="O10" s="67">
        <f t="shared" si="1"/>
        <v>36.67</v>
      </c>
      <c r="P10" s="69"/>
      <c r="Q10" s="69"/>
      <c r="R10" s="69"/>
      <c r="S10" s="69"/>
      <c r="T10" s="69"/>
    </row>
    <row r="11" spans="1:20" s="164" customFormat="1">
      <c r="A11" s="170">
        <v>226</v>
      </c>
      <c r="B11" s="169" t="s">
        <v>247</v>
      </c>
      <c r="C11" s="174">
        <v>22820</v>
      </c>
      <c r="D11" s="167">
        <f ca="1">'пр.1+2 '!D47</f>
        <v>22820</v>
      </c>
      <c r="E11" s="162">
        <f t="shared" si="0"/>
        <v>0</v>
      </c>
      <c r="F11" s="165"/>
      <c r="G11" s="165"/>
      <c r="H11" s="165"/>
      <c r="I11" s="266"/>
      <c r="J11" s="266"/>
      <c r="K11" s="266"/>
      <c r="L11" s="266"/>
      <c r="M11" s="266"/>
      <c r="N11" s="266"/>
      <c r="O11" s="266"/>
      <c r="P11" s="69"/>
      <c r="Q11" s="69"/>
      <c r="R11" s="69"/>
      <c r="S11" s="69"/>
      <c r="T11" s="69"/>
    </row>
    <row r="12" spans="1:20" s="164" customFormat="1">
      <c r="A12" s="170">
        <v>310</v>
      </c>
      <c r="B12" s="169" t="s">
        <v>247</v>
      </c>
      <c r="C12" s="168">
        <v>160700</v>
      </c>
      <c r="D12" s="167">
        <f ca="1">'пр.1+2 '!D49:E49</f>
        <v>160700</v>
      </c>
      <c r="E12" s="162">
        <f t="shared" si="0"/>
        <v>0</v>
      </c>
      <c r="F12" s="165"/>
      <c r="G12" s="166"/>
      <c r="N12" s="67"/>
      <c r="O12" s="69"/>
      <c r="P12" s="69"/>
      <c r="Q12" s="69"/>
      <c r="R12" s="69"/>
    </row>
    <row r="13" spans="1:20" s="164" customFormat="1">
      <c r="A13" s="170">
        <v>340</v>
      </c>
      <c r="B13" s="169" t="s">
        <v>247</v>
      </c>
      <c r="C13" s="168">
        <v>30177</v>
      </c>
      <c r="D13" s="167">
        <f ca="1">'пр.1+2 '!D50:E50</f>
        <v>30177</v>
      </c>
      <c r="E13" s="162">
        <f t="shared" si="0"/>
        <v>0</v>
      </c>
      <c r="F13" s="165"/>
      <c r="G13" s="165"/>
    </row>
    <row r="14" spans="1:20" s="164" customFormat="1">
      <c r="A14" s="315" t="s">
        <v>363</v>
      </c>
      <c r="B14" s="169"/>
      <c r="C14" s="168"/>
      <c r="D14" s="167">
        <f ca="1">'пр.1+2 '!D97</f>
        <v>0</v>
      </c>
      <c r="E14" s="162">
        <f t="shared" si="0"/>
        <v>0</v>
      </c>
      <c r="F14" s="165"/>
      <c r="G14" s="165"/>
    </row>
    <row r="15" spans="1:20" s="164" customFormat="1">
      <c r="A15" s="315" t="s">
        <v>364</v>
      </c>
      <c r="B15" s="169"/>
      <c r="C15" s="168">
        <v>8101.13</v>
      </c>
      <c r="D15" s="167">
        <f ca="1">'пр.1+2 '!D98:E98</f>
        <v>8101.13</v>
      </c>
      <c r="E15" s="162">
        <f t="shared" si="0"/>
        <v>0</v>
      </c>
      <c r="F15" s="165"/>
      <c r="G15" s="165"/>
    </row>
    <row r="16" spans="1:20" s="164" customFormat="1" ht="13.5" thickBot="1">
      <c r="A16" s="170"/>
      <c r="B16" s="169"/>
      <c r="C16" s="177">
        <f>SUM(C7:C15)</f>
        <v>16964023</v>
      </c>
      <c r="D16" s="177">
        <f ca="1">SUM(D7:D15)</f>
        <v>16964023</v>
      </c>
      <c r="E16" s="177">
        <f ca="1">C16-D16</f>
        <v>0</v>
      </c>
      <c r="F16" s="165"/>
      <c r="G16" s="166">
        <f>H16-C16</f>
        <v>-22582.539999999106</v>
      </c>
      <c r="H16" s="165">
        <f>I16*$I$4+J4*$J$16+K16*$K$4+L16*$L$4+M16*$M$4+N16*$N$4+O16*$O$4</f>
        <v>16941440.460000001</v>
      </c>
      <c r="I16" s="147">
        <f>ROUND(IF(I4=0,0,I8+I9+I10)+IF(I6=0,0,I7/I4),2)</f>
        <v>22320.47</v>
      </c>
      <c r="J16" s="147">
        <f t="shared" ref="J16:O16" si="2">ROUND(IF(J4=0,0,J8+J9+J10)+IF(J6=0,0,J7/J4),2)</f>
        <v>0</v>
      </c>
      <c r="K16" s="147">
        <f t="shared" si="2"/>
        <v>32439.07</v>
      </c>
      <c r="L16" s="147">
        <f t="shared" si="2"/>
        <v>0</v>
      </c>
      <c r="M16" s="147">
        <f t="shared" si="2"/>
        <v>37392.910000000003</v>
      </c>
      <c r="N16" s="147">
        <f t="shared" si="2"/>
        <v>0</v>
      </c>
      <c r="O16" s="147">
        <f t="shared" si="2"/>
        <v>0</v>
      </c>
      <c r="P16" s="265"/>
    </row>
    <row r="17" spans="1:21" s="164" customFormat="1">
      <c r="A17" s="170"/>
      <c r="B17" s="169"/>
      <c r="C17" s="177"/>
      <c r="D17" s="177"/>
      <c r="E17" s="177"/>
      <c r="F17" s="165"/>
      <c r="G17" s="166"/>
      <c r="H17" s="165" t="s">
        <v>264</v>
      </c>
      <c r="I17" s="164">
        <f>-ROUND($G$16/$E$4,2)</f>
        <v>37.26</v>
      </c>
      <c r="J17" s="164">
        <f t="shared" ref="J17:O17" si="3">-ROUND($G$16/$E$4,2)</f>
        <v>37.26</v>
      </c>
      <c r="K17" s="164">
        <f t="shared" si="3"/>
        <v>37.26</v>
      </c>
      <c r="L17" s="164">
        <f t="shared" si="3"/>
        <v>37.26</v>
      </c>
      <c r="M17" s="164">
        <f t="shared" si="3"/>
        <v>37.26</v>
      </c>
      <c r="N17" s="164">
        <f t="shared" si="3"/>
        <v>37.26</v>
      </c>
      <c r="O17" s="164">
        <f t="shared" si="3"/>
        <v>37.26</v>
      </c>
    </row>
    <row r="18" spans="1:21" s="164" customFormat="1">
      <c r="A18" s="170"/>
      <c r="B18" s="169"/>
      <c r="C18" s="177"/>
      <c r="D18" s="177"/>
      <c r="E18" s="177"/>
      <c r="F18" s="165"/>
      <c r="G18" s="166">
        <f>C16-H18</f>
        <v>2.9800000004470348</v>
      </c>
      <c r="H18" s="165">
        <f>I18*$I$4+J18*$J$4+K18*$K$4+L18*$L$4+M18*$M$4+N18*$N$4+O18*$O$4</f>
        <v>16964020.02</v>
      </c>
      <c r="I18" s="164">
        <f t="shared" ref="I18:O18" si="4">I16+I17</f>
        <v>22357.73</v>
      </c>
      <c r="J18" s="164">
        <f t="shared" si="4"/>
        <v>37.26</v>
      </c>
      <c r="K18" s="164">
        <f t="shared" si="4"/>
        <v>32476.329999999998</v>
      </c>
      <c r="L18" s="164">
        <f t="shared" si="4"/>
        <v>37.26</v>
      </c>
      <c r="M18" s="164">
        <f t="shared" si="4"/>
        <v>37430.170000000006</v>
      </c>
      <c r="N18" s="164">
        <f t="shared" si="4"/>
        <v>37.26</v>
      </c>
      <c r="O18" s="164">
        <f t="shared" si="4"/>
        <v>37.26</v>
      </c>
    </row>
    <row r="19" spans="1:21">
      <c r="A19" s="75">
        <v>211</v>
      </c>
      <c r="B19" s="75">
        <v>901</v>
      </c>
      <c r="C19" s="163">
        <v>892995</v>
      </c>
      <c r="D19" s="365">
        <f ca="1">свод!F16+свод!F39</f>
        <v>892995</v>
      </c>
      <c r="E19" s="365">
        <f t="shared" si="0"/>
        <v>0</v>
      </c>
      <c r="F19" s="165">
        <f>ROUND(C19/$E$4,2)</f>
        <v>1473.59</v>
      </c>
      <c r="G19" s="166">
        <f>H19-C19</f>
        <v>0.53999999992083758</v>
      </c>
      <c r="H19" s="165">
        <f t="shared" ref="H19:H31" si="5">I19*$I$4+J19*$J$4+K19*$K$4+L19*$L$4+M19*$M$4+N19*$N$4+O19*$O$4</f>
        <v>892995.53999999992</v>
      </c>
      <c r="I19" s="67">
        <f>IF($I$4=0,0,F19)</f>
        <v>1473.59</v>
      </c>
      <c r="J19" s="67">
        <f>IF($J$4=0,0,F19)</f>
        <v>0</v>
      </c>
      <c r="K19" s="67">
        <f>IF($K$4=0,0,F19)</f>
        <v>1473.59</v>
      </c>
      <c r="L19" s="67">
        <f>IF($L$4=0,0,F19)</f>
        <v>0</v>
      </c>
      <c r="M19" s="67">
        <f>IF($M$4=0,0,F19)</f>
        <v>1473.59</v>
      </c>
      <c r="N19" s="67">
        <f>IF($N$4=0,0,F19)</f>
        <v>0</v>
      </c>
      <c r="O19" s="67">
        <f>IF($O$4=0,0,F19)</f>
        <v>0</v>
      </c>
      <c r="R19" s="69"/>
      <c r="S19" s="69"/>
      <c r="T19" s="69"/>
      <c r="U19" s="69"/>
    </row>
    <row r="20" spans="1:21">
      <c r="A20" s="75">
        <v>212</v>
      </c>
      <c r="B20" s="75">
        <v>901</v>
      </c>
      <c r="C20" s="163">
        <v>2693.54</v>
      </c>
      <c r="D20" s="365">
        <f ca="1">свод!F31</f>
        <v>2693.54</v>
      </c>
      <c r="E20" s="365">
        <f t="shared" si="0"/>
        <v>0</v>
      </c>
      <c r="F20" s="165">
        <f t="shared" ref="F20:F31" si="6">ROUND(C20/$E$4,2)</f>
        <v>4.4400000000000004</v>
      </c>
      <c r="G20" s="166">
        <f t="shared" ref="G20:G31" si="7">H20-C20</f>
        <v>-2.8999999999996362</v>
      </c>
      <c r="H20" s="165">
        <f>I20*$I$4+J20*$J$4+K20*$K$4+L20*$L$4+M20*$M$4+N20*$N$4+O20*$O$4</f>
        <v>2690.6400000000003</v>
      </c>
      <c r="I20" s="67">
        <f t="shared" ref="I20:I31" si="8">IF($I$4=0,0,F20)</f>
        <v>4.4400000000000004</v>
      </c>
      <c r="J20" s="67">
        <f t="shared" ref="J20:J31" si="9">IF($J$4=0,0,F20)</f>
        <v>0</v>
      </c>
      <c r="K20" s="67">
        <f t="shared" ref="K20:K31" si="10">IF($K$4=0,0,I20)</f>
        <v>4.4400000000000004</v>
      </c>
      <c r="L20" s="67">
        <f t="shared" ref="L20:L31" si="11">IF($L$4=0,0,F20)</f>
        <v>0</v>
      </c>
      <c r="M20" s="67">
        <f t="shared" ref="M20:M31" si="12">IF($M$4=0,0,F20)</f>
        <v>4.4400000000000004</v>
      </c>
      <c r="N20" s="67">
        <f t="shared" ref="N20:N31" si="13">IF($N$4=0,0,F20)</f>
        <v>0</v>
      </c>
      <c r="O20" s="67">
        <f t="shared" ref="O20:O31" si="14">IF($O$4=0,0,F20)</f>
        <v>0</v>
      </c>
      <c r="R20" s="69"/>
      <c r="S20" s="69"/>
      <c r="T20" s="69"/>
      <c r="U20" s="69"/>
    </row>
    <row r="21" spans="1:21">
      <c r="A21" s="75">
        <v>213</v>
      </c>
      <c r="B21" s="75">
        <v>901</v>
      </c>
      <c r="C21" s="163">
        <v>269306.13</v>
      </c>
      <c r="D21" s="365">
        <f ca="1">свод!F17+свод!F41-D31</f>
        <v>269306.13</v>
      </c>
      <c r="E21" s="365">
        <f t="shared" si="0"/>
        <v>0</v>
      </c>
      <c r="F21" s="165">
        <f>ROUND((C21+C30+C31)/$E$4,2)</f>
        <v>445.03</v>
      </c>
      <c r="G21" s="166">
        <f t="shared" si="7"/>
        <v>382.04999999998836</v>
      </c>
      <c r="H21" s="165">
        <f t="shared" si="5"/>
        <v>269688.18</v>
      </c>
      <c r="I21" s="67">
        <f t="shared" si="8"/>
        <v>445.03</v>
      </c>
      <c r="J21" s="67">
        <f t="shared" si="9"/>
        <v>0</v>
      </c>
      <c r="K21" s="67">
        <f t="shared" si="10"/>
        <v>445.03</v>
      </c>
      <c r="L21" s="67">
        <f t="shared" si="11"/>
        <v>0</v>
      </c>
      <c r="M21" s="67">
        <f t="shared" si="12"/>
        <v>445.03</v>
      </c>
      <c r="N21" s="67">
        <f t="shared" si="13"/>
        <v>0</v>
      </c>
      <c r="O21" s="67">
        <f t="shared" si="14"/>
        <v>0</v>
      </c>
    </row>
    <row r="22" spans="1:21">
      <c r="A22" s="75">
        <v>221</v>
      </c>
      <c r="B22" s="75">
        <v>901</v>
      </c>
      <c r="C22" s="163">
        <v>15111</v>
      </c>
      <c r="D22" s="365">
        <f ca="1">свод!F67</f>
        <v>15111</v>
      </c>
      <c r="E22" s="365">
        <f t="shared" si="0"/>
        <v>0</v>
      </c>
      <c r="F22" s="165">
        <f t="shared" si="6"/>
        <v>24.94</v>
      </c>
      <c r="G22" s="166">
        <f t="shared" si="7"/>
        <v>2.6400000000012369</v>
      </c>
      <c r="H22" s="165">
        <f t="shared" si="5"/>
        <v>15113.640000000001</v>
      </c>
      <c r="I22" s="67">
        <f t="shared" si="8"/>
        <v>24.94</v>
      </c>
      <c r="J22" s="67">
        <f t="shared" si="9"/>
        <v>0</v>
      </c>
      <c r="K22" s="67">
        <f t="shared" si="10"/>
        <v>24.94</v>
      </c>
      <c r="L22" s="67">
        <f t="shared" si="11"/>
        <v>0</v>
      </c>
      <c r="M22" s="67">
        <f t="shared" si="12"/>
        <v>24.94</v>
      </c>
      <c r="N22" s="67">
        <f t="shared" si="13"/>
        <v>0</v>
      </c>
      <c r="O22" s="67">
        <f t="shared" si="14"/>
        <v>0</v>
      </c>
    </row>
    <row r="23" spans="1:21">
      <c r="A23" s="75">
        <v>222</v>
      </c>
      <c r="B23" s="75">
        <v>901</v>
      </c>
      <c r="C23" s="163">
        <v>0</v>
      </c>
      <c r="D23" s="162">
        <f ca="1">свод!F68</f>
        <v>0</v>
      </c>
      <c r="E23" s="162">
        <f t="shared" si="0"/>
        <v>0</v>
      </c>
      <c r="F23" s="165">
        <f t="shared" si="6"/>
        <v>0</v>
      </c>
      <c r="G23" s="166">
        <f t="shared" si="7"/>
        <v>0</v>
      </c>
      <c r="H23" s="165">
        <f t="shared" si="5"/>
        <v>0</v>
      </c>
      <c r="I23" s="67">
        <f t="shared" si="8"/>
        <v>0</v>
      </c>
      <c r="J23" s="67">
        <f t="shared" si="9"/>
        <v>0</v>
      </c>
      <c r="K23" s="67">
        <f t="shared" si="10"/>
        <v>0</v>
      </c>
      <c r="L23" s="67">
        <f t="shared" si="11"/>
        <v>0</v>
      </c>
      <c r="M23" s="67">
        <f t="shared" si="12"/>
        <v>0</v>
      </c>
      <c r="N23" s="67">
        <f t="shared" si="13"/>
        <v>0</v>
      </c>
      <c r="O23" s="67">
        <f t="shared" si="14"/>
        <v>0</v>
      </c>
    </row>
    <row r="24" spans="1:21">
      <c r="A24" s="75">
        <v>223</v>
      </c>
      <c r="B24" s="75">
        <v>901</v>
      </c>
      <c r="C24" s="163">
        <v>1494353.82</v>
      </c>
      <c r="D24" s="162">
        <f ca="1">свод!F104+свод!F112+свод!F113</f>
        <v>1494353.82</v>
      </c>
      <c r="E24" s="162">
        <f t="shared" si="0"/>
        <v>0</v>
      </c>
      <c r="F24" s="165">
        <f t="shared" si="6"/>
        <v>2465.9299999999998</v>
      </c>
      <c r="G24" s="166">
        <f t="shared" si="7"/>
        <v>-0.24000000022351742</v>
      </c>
      <c r="H24" s="165">
        <f t="shared" si="5"/>
        <v>1494353.5799999998</v>
      </c>
      <c r="I24" s="67">
        <f>IF($I$4=0,0,F24)</f>
        <v>2465.9299999999998</v>
      </c>
      <c r="J24" s="67">
        <f t="shared" si="9"/>
        <v>0</v>
      </c>
      <c r="K24" s="67">
        <f t="shared" si="10"/>
        <v>2465.9299999999998</v>
      </c>
      <c r="L24" s="67">
        <f t="shared" si="11"/>
        <v>0</v>
      </c>
      <c r="M24" s="67">
        <f t="shared" si="12"/>
        <v>2465.9299999999998</v>
      </c>
      <c r="N24" s="67">
        <f t="shared" si="13"/>
        <v>0</v>
      </c>
      <c r="O24" s="67">
        <f t="shared" si="14"/>
        <v>0</v>
      </c>
    </row>
    <row r="25" spans="1:21">
      <c r="A25" s="75">
        <v>224</v>
      </c>
      <c r="B25" s="75">
        <v>901</v>
      </c>
      <c r="C25" s="163"/>
      <c r="D25" s="162"/>
      <c r="E25" s="162">
        <f t="shared" si="0"/>
        <v>0</v>
      </c>
      <c r="F25" s="165">
        <f t="shared" si="6"/>
        <v>0</v>
      </c>
      <c r="G25" s="166">
        <f t="shared" si="7"/>
        <v>0</v>
      </c>
      <c r="H25" s="165">
        <f t="shared" si="5"/>
        <v>0</v>
      </c>
      <c r="I25" s="67">
        <f t="shared" si="8"/>
        <v>0</v>
      </c>
      <c r="J25" s="67">
        <f t="shared" si="9"/>
        <v>0</v>
      </c>
      <c r="K25" s="67">
        <f t="shared" si="10"/>
        <v>0</v>
      </c>
      <c r="L25" s="67">
        <f t="shared" si="11"/>
        <v>0</v>
      </c>
      <c r="M25" s="67">
        <f t="shared" si="12"/>
        <v>0</v>
      </c>
      <c r="N25" s="67">
        <f t="shared" si="13"/>
        <v>0</v>
      </c>
      <c r="O25" s="67">
        <f t="shared" si="14"/>
        <v>0</v>
      </c>
    </row>
    <row r="26" spans="1:21">
      <c r="A26" s="75">
        <v>225</v>
      </c>
      <c r="B26" s="75">
        <v>901</v>
      </c>
      <c r="C26" s="163">
        <v>382254.67</v>
      </c>
      <c r="D26" s="162">
        <f ca="1">свод!F45+свод!F46+свод!F47+свод!F48+свод!F49+свод!F52+свод!F53+свод!F54+свод!F55+свод!F56+свод!F57+свод!F58+свод!F59+свод!F60+свод!F61+свод!F62</f>
        <v>382254.67</v>
      </c>
      <c r="E26" s="162">
        <f t="shared" si="0"/>
        <v>0</v>
      </c>
      <c r="F26" s="165">
        <f>ROUND(C26/$E$4,2)</f>
        <v>630.78</v>
      </c>
      <c r="G26" s="166">
        <f t="shared" si="7"/>
        <v>-1.9899999999906868</v>
      </c>
      <c r="H26" s="165">
        <f t="shared" si="5"/>
        <v>382252.68</v>
      </c>
      <c r="I26" s="67">
        <f>IF($I$4=0,0,F26)</f>
        <v>630.78</v>
      </c>
      <c r="J26" s="67">
        <f t="shared" si="9"/>
        <v>0</v>
      </c>
      <c r="K26" s="67">
        <f t="shared" si="10"/>
        <v>630.78</v>
      </c>
      <c r="L26" s="67">
        <f t="shared" si="11"/>
        <v>0</v>
      </c>
      <c r="M26" s="67">
        <f t="shared" si="12"/>
        <v>630.78</v>
      </c>
      <c r="N26" s="67">
        <f t="shared" si="13"/>
        <v>0</v>
      </c>
      <c r="O26" s="67">
        <f t="shared" si="14"/>
        <v>0</v>
      </c>
    </row>
    <row r="27" spans="1:21">
      <c r="A27" s="75">
        <v>226</v>
      </c>
      <c r="B27" s="75">
        <v>901</v>
      </c>
      <c r="C27" s="163">
        <v>115262.46</v>
      </c>
      <c r="D27" s="162">
        <f ca="1">свод!F50+свод!F69+свод!F70+свод!F72+свод!F73+свод!F74+свод!F75+свод!F76+свод!F77</f>
        <v>115262.46</v>
      </c>
      <c r="E27" s="162">
        <f t="shared" si="0"/>
        <v>0</v>
      </c>
      <c r="F27" s="165">
        <f t="shared" si="6"/>
        <v>190.2</v>
      </c>
      <c r="G27" s="166">
        <f t="shared" si="7"/>
        <v>-1.2600000000093132</v>
      </c>
      <c r="H27" s="165">
        <f t="shared" si="5"/>
        <v>115261.2</v>
      </c>
      <c r="I27" s="67">
        <f t="shared" si="8"/>
        <v>190.2</v>
      </c>
      <c r="J27" s="67">
        <f t="shared" si="9"/>
        <v>0</v>
      </c>
      <c r="K27" s="67">
        <f t="shared" si="10"/>
        <v>190.2</v>
      </c>
      <c r="L27" s="67">
        <f t="shared" si="11"/>
        <v>0</v>
      </c>
      <c r="M27" s="67">
        <f t="shared" si="12"/>
        <v>190.2</v>
      </c>
      <c r="N27" s="67">
        <f t="shared" si="13"/>
        <v>0</v>
      </c>
      <c r="O27" s="67">
        <f t="shared" si="14"/>
        <v>0</v>
      </c>
    </row>
    <row r="28" spans="1:21">
      <c r="A28" s="75">
        <v>290</v>
      </c>
      <c r="B28" s="75">
        <v>901</v>
      </c>
      <c r="C28" s="163">
        <v>887786</v>
      </c>
      <c r="D28" s="162">
        <f ca="1">свод!F107+свод!F108+свод!F109</f>
        <v>887786</v>
      </c>
      <c r="E28" s="162">
        <f t="shared" si="0"/>
        <v>0</v>
      </c>
      <c r="F28" s="165">
        <f>ROUND(C28/$E$4,2)</f>
        <v>1464.99</v>
      </c>
      <c r="G28" s="166">
        <f t="shared" si="7"/>
        <v>-2.059999999939464</v>
      </c>
      <c r="H28" s="165">
        <f t="shared" si="5"/>
        <v>887783.94000000006</v>
      </c>
      <c r="I28" s="67">
        <f t="shared" si="8"/>
        <v>1464.99</v>
      </c>
      <c r="J28" s="67">
        <f t="shared" si="9"/>
        <v>0</v>
      </c>
      <c r="K28" s="67">
        <f t="shared" si="10"/>
        <v>1464.99</v>
      </c>
      <c r="L28" s="67">
        <f t="shared" si="11"/>
        <v>0</v>
      </c>
      <c r="M28" s="67">
        <f t="shared" si="12"/>
        <v>1464.99</v>
      </c>
      <c r="N28" s="67">
        <f t="shared" si="13"/>
        <v>0</v>
      </c>
      <c r="O28" s="67">
        <f t="shared" si="14"/>
        <v>0</v>
      </c>
    </row>
    <row r="29" spans="1:21">
      <c r="A29" s="75">
        <v>340</v>
      </c>
      <c r="B29" s="75">
        <v>901</v>
      </c>
      <c r="C29" s="163"/>
      <c r="D29" s="162">
        <f ca="1">свод!F89</f>
        <v>0</v>
      </c>
      <c r="E29" s="162">
        <f t="shared" si="0"/>
        <v>0</v>
      </c>
      <c r="F29" s="165">
        <f t="shared" si="6"/>
        <v>0</v>
      </c>
      <c r="G29" s="166">
        <f t="shared" si="7"/>
        <v>0</v>
      </c>
      <c r="H29" s="165">
        <f t="shared" si="5"/>
        <v>0</v>
      </c>
      <c r="I29" s="67">
        <f t="shared" si="8"/>
        <v>0</v>
      </c>
      <c r="J29" s="67">
        <f t="shared" si="9"/>
        <v>0</v>
      </c>
      <c r="K29" s="67">
        <f t="shared" si="10"/>
        <v>0</v>
      </c>
      <c r="L29" s="67">
        <f t="shared" si="11"/>
        <v>0</v>
      </c>
      <c r="M29" s="67">
        <f t="shared" si="12"/>
        <v>0</v>
      </c>
      <c r="N29" s="67">
        <f t="shared" si="13"/>
        <v>0</v>
      </c>
      <c r="O29" s="67">
        <f t="shared" si="14"/>
        <v>0</v>
      </c>
    </row>
    <row r="30" spans="1:21">
      <c r="A30" s="315" t="s">
        <v>363</v>
      </c>
      <c r="B30" s="169"/>
      <c r="C30" s="168"/>
      <c r="D30" s="162">
        <f ca="1">'пр.1+2 '!D82:E82</f>
        <v>0</v>
      </c>
      <c r="E30" s="162">
        <f t="shared" si="0"/>
        <v>0</v>
      </c>
      <c r="F30" s="165">
        <f t="shared" si="6"/>
        <v>0</v>
      </c>
      <c r="G30" s="166">
        <f t="shared" si="7"/>
        <v>0</v>
      </c>
      <c r="H30" s="165">
        <f t="shared" si="5"/>
        <v>0</v>
      </c>
      <c r="I30" s="67">
        <f t="shared" si="8"/>
        <v>0</v>
      </c>
      <c r="J30" s="67">
        <f t="shared" si="9"/>
        <v>0</v>
      </c>
      <c r="K30" s="67">
        <f t="shared" si="10"/>
        <v>0</v>
      </c>
      <c r="L30" s="67">
        <f t="shared" si="11"/>
        <v>0</v>
      </c>
      <c r="M30" s="67">
        <f t="shared" si="12"/>
        <v>0</v>
      </c>
      <c r="N30" s="67">
        <f t="shared" si="13"/>
        <v>0</v>
      </c>
      <c r="O30" s="67">
        <f t="shared" si="14"/>
        <v>0</v>
      </c>
    </row>
    <row r="31" spans="1:21">
      <c r="A31" s="315" t="s">
        <v>364</v>
      </c>
      <c r="B31" s="169"/>
      <c r="C31" s="168">
        <v>379.87</v>
      </c>
      <c r="D31" s="162">
        <f ca="1">'пр.1+2 '!D83:E83</f>
        <v>379.87</v>
      </c>
      <c r="E31" s="162">
        <f t="shared" si="0"/>
        <v>0</v>
      </c>
      <c r="F31" s="165">
        <f t="shared" si="6"/>
        <v>0.63</v>
      </c>
      <c r="G31" s="166">
        <f t="shared" si="7"/>
        <v>1.910000000000025</v>
      </c>
      <c r="H31" s="165">
        <f t="shared" si="5"/>
        <v>381.78000000000003</v>
      </c>
      <c r="I31" s="67">
        <f t="shared" si="8"/>
        <v>0.63</v>
      </c>
      <c r="J31" s="67">
        <f t="shared" si="9"/>
        <v>0</v>
      </c>
      <c r="K31" s="67">
        <f t="shared" si="10"/>
        <v>0.63</v>
      </c>
      <c r="L31" s="67">
        <f t="shared" si="11"/>
        <v>0</v>
      </c>
      <c r="M31" s="67">
        <f t="shared" si="12"/>
        <v>0.63</v>
      </c>
      <c r="N31" s="67">
        <f t="shared" si="13"/>
        <v>0</v>
      </c>
      <c r="O31" s="67">
        <f t="shared" si="14"/>
        <v>0</v>
      </c>
    </row>
    <row r="32" spans="1:21">
      <c r="F32" s="70"/>
      <c r="G32" s="175">
        <f>G18+G19+G20+G21+G22+G23+G24+G25+G26+G27+G28+G29</f>
        <v>379.76000000019485</v>
      </c>
      <c r="H32" s="164">
        <f>H18+H19+H20+H21+H22+H23+H24+H25+H26+H27+H28+H29</f>
        <v>21024159.419999998</v>
      </c>
      <c r="I32" s="164">
        <f>IF(I4=0,0,I18+I19+I20+I21+I22+I23+I24+I25+I26+I27+I28+I29)</f>
        <v>29057.629999999997</v>
      </c>
      <c r="J32" s="164">
        <f t="shared" ref="J32:O32" si="15">IF(J4=0,0,J18+J19+J20+J21+J22+J23+J24+J25+J26+J27+J28+J29)</f>
        <v>0</v>
      </c>
      <c r="K32" s="164">
        <f t="shared" si="15"/>
        <v>39176.229999999996</v>
      </c>
      <c r="L32" s="164">
        <f t="shared" si="15"/>
        <v>0</v>
      </c>
      <c r="M32" s="164">
        <f t="shared" si="15"/>
        <v>44130.07</v>
      </c>
      <c r="N32" s="164">
        <f t="shared" si="15"/>
        <v>0</v>
      </c>
      <c r="O32" s="164">
        <f t="shared" si="15"/>
        <v>0</v>
      </c>
      <c r="P32" s="164"/>
    </row>
    <row r="33" spans="7:15">
      <c r="I33" s="541">
        <f>IF((I4+J4)=0,0,ROUND((I32*I4+J32*J4)/(I4+J4),2))</f>
        <v>29057.63</v>
      </c>
      <c r="J33" s="541"/>
      <c r="K33" s="530">
        <f>IF((K4+L4)=0,0,ROUND((K32*K4+L32*L4)/(K4+L4),2))</f>
        <v>39176.230000000003</v>
      </c>
      <c r="L33" s="530"/>
      <c r="M33" s="530">
        <f>IF((M4+N4)=0,0,ROUND((M32*M4+N32*N4)/(M4+N4),2))</f>
        <v>44130.07</v>
      </c>
      <c r="N33" s="530"/>
      <c r="O33" s="67">
        <f>O32</f>
        <v>0</v>
      </c>
    </row>
    <row r="34" spans="7:15">
      <c r="N34" s="84"/>
    </row>
    <row r="36" spans="7:15">
      <c r="I36" s="84">
        <f>I33*(I4+J4)+K33*(K4+L4)+M33*(M4+N4)+O4*O33-C6</f>
        <v>-6.0700000002980232</v>
      </c>
    </row>
    <row r="38" spans="7:15">
      <c r="G38" s="67">
        <v>14736</v>
      </c>
      <c r="H38" s="67">
        <f>G38*0.05</f>
        <v>736.80000000000007</v>
      </c>
      <c r="I38" s="67">
        <f>2638/4</f>
        <v>659.5</v>
      </c>
    </row>
    <row r="39" spans="7:15">
      <c r="H39" s="67">
        <f>G38+I38</f>
        <v>15395.5</v>
      </c>
      <c r="I39" s="67">
        <f>0.98/4</f>
        <v>0.245</v>
      </c>
    </row>
    <row r="46" spans="7:15">
      <c r="J46" s="67">
        <v>291</v>
      </c>
      <c r="K46" s="67">
        <v>269</v>
      </c>
      <c r="L46" s="67">
        <v>46</v>
      </c>
      <c r="M46" s="67">
        <v>0</v>
      </c>
    </row>
    <row r="48" spans="7:15" ht="0.75" customHeight="1"/>
    <row r="49" spans="1:5" hidden="1"/>
    <row r="50" spans="1:5" hidden="1"/>
    <row r="51" spans="1:5" hidden="1"/>
    <row r="52" spans="1:5" hidden="1"/>
    <row r="54" spans="1:5">
      <c r="A54" s="67" t="str">
        <f ca="1">свод!A119</f>
        <v>Директор МБОУ "Кадетская школа № 46 г. Пензы"</v>
      </c>
      <c r="D54" s="67" t="s">
        <v>386</v>
      </c>
      <c r="E54" s="67" t="str">
        <f ca="1">свод!E119</f>
        <v>В.А.Борисов</v>
      </c>
    </row>
    <row r="57" spans="1:5">
      <c r="A57" s="67" t="str">
        <f ca="1">свод!A121</f>
        <v xml:space="preserve">Гл.бухгалтер  </v>
      </c>
      <c r="D57" s="67" t="s">
        <v>386</v>
      </c>
      <c r="E57" s="67" t="str">
        <f ca="1">свод!E121</f>
        <v>Н.Е.Нелюбова</v>
      </c>
    </row>
  </sheetData>
  <mergeCells count="7">
    <mergeCell ref="M2:N2"/>
    <mergeCell ref="I33:J33"/>
    <mergeCell ref="K33:L33"/>
    <mergeCell ref="A2:E2"/>
    <mergeCell ref="I2:J2"/>
    <mergeCell ref="K2:L2"/>
    <mergeCell ref="M33:N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"/>
  <sheetViews>
    <sheetView zoomScale="80" zoomScaleNormal="80" workbookViewId="0">
      <selection activeCell="M6" sqref="M6"/>
    </sheetView>
  </sheetViews>
  <sheetFormatPr defaultRowHeight="12.75"/>
  <cols>
    <col min="1" max="2" width="7.5703125" style="67" customWidth="1"/>
    <col min="3" max="3" width="15.5703125" style="67" customWidth="1"/>
    <col min="4" max="4" width="18.140625" style="67" customWidth="1"/>
    <col min="5" max="5" width="15.140625" style="67" customWidth="1"/>
    <col min="6" max="6" width="8" style="67" customWidth="1"/>
    <col min="7" max="7" width="13.42578125" style="67" bestFit="1" customWidth="1"/>
    <col min="8" max="8" width="15.85546875" style="67" customWidth="1"/>
    <col min="9" max="9" width="13.42578125" style="67" customWidth="1"/>
    <col min="10" max="10" width="10.7109375" style="67" bestFit="1" customWidth="1"/>
    <col min="11" max="13" width="9.140625" style="67"/>
    <col min="14" max="14" width="10.140625" style="67" bestFit="1" customWidth="1"/>
    <col min="15" max="16384" width="9.140625" style="67"/>
  </cols>
  <sheetData>
    <row r="1" spans="1:20" ht="15.75">
      <c r="F1" s="70"/>
      <c r="G1" s="70"/>
      <c r="H1" s="70"/>
      <c r="I1" s="69" t="s">
        <v>256</v>
      </c>
      <c r="J1" s="69"/>
      <c r="K1" s="69"/>
      <c r="L1" s="69"/>
      <c r="M1" s="69"/>
      <c r="N1" s="161"/>
      <c r="O1" s="69"/>
      <c r="P1" s="69"/>
      <c r="Q1" s="161"/>
      <c r="R1" s="161"/>
    </row>
    <row r="2" spans="1:20" ht="18">
      <c r="A2" s="542" t="s">
        <v>251</v>
      </c>
      <c r="B2" s="542"/>
      <c r="C2" s="542"/>
      <c r="D2" s="542"/>
      <c r="E2" s="542"/>
      <c r="F2" s="70"/>
      <c r="G2" s="70"/>
      <c r="H2" s="70"/>
      <c r="I2" s="540" t="s">
        <v>253</v>
      </c>
      <c r="J2" s="540"/>
      <c r="K2" s="540" t="s">
        <v>252</v>
      </c>
      <c r="L2" s="540"/>
      <c r="M2" s="540" t="s">
        <v>254</v>
      </c>
      <c r="N2" s="540"/>
      <c r="O2" s="69"/>
      <c r="R2" s="69" t="s">
        <v>339</v>
      </c>
      <c r="S2" s="69"/>
    </row>
    <row r="3" spans="1:20">
      <c r="F3" s="70"/>
      <c r="G3" s="70"/>
      <c r="H3" s="70"/>
      <c r="I3" s="69" t="s">
        <v>340</v>
      </c>
      <c r="J3" s="67" t="s">
        <v>338</v>
      </c>
      <c r="K3" s="69" t="s">
        <v>340</v>
      </c>
      <c r="L3" s="67" t="s">
        <v>338</v>
      </c>
      <c r="M3" s="69" t="s">
        <v>340</v>
      </c>
      <c r="N3" s="67" t="s">
        <v>338</v>
      </c>
      <c r="O3" s="69" t="s">
        <v>255</v>
      </c>
      <c r="P3" s="69"/>
      <c r="R3" s="173" t="s">
        <v>257</v>
      </c>
      <c r="S3" s="173" t="s">
        <v>252</v>
      </c>
      <c r="T3" s="173" t="s">
        <v>254</v>
      </c>
    </row>
    <row r="4" spans="1:20" ht="18.75">
      <c r="E4" s="67">
        <f>I4+J4+K4+L4+M4+N4+O4</f>
        <v>637</v>
      </c>
      <c r="F4" s="70"/>
      <c r="G4" s="70" t="s">
        <v>248</v>
      </c>
      <c r="H4" s="70"/>
      <c r="I4" s="159">
        <v>288</v>
      </c>
      <c r="J4" s="159">
        <v>0</v>
      </c>
      <c r="K4" s="159">
        <v>298</v>
      </c>
      <c r="L4" s="159">
        <v>0</v>
      </c>
      <c r="M4" s="159">
        <v>51</v>
      </c>
      <c r="N4" s="159">
        <v>0</v>
      </c>
      <c r="O4" s="159">
        <v>0</v>
      </c>
      <c r="P4" s="172"/>
      <c r="Q4" s="69"/>
      <c r="R4" s="176">
        <v>0</v>
      </c>
      <c r="S4" s="176">
        <v>0</v>
      </c>
      <c r="T4" s="176">
        <v>0</v>
      </c>
    </row>
    <row r="5" spans="1:20">
      <c r="A5" s="75" t="s">
        <v>131</v>
      </c>
      <c r="B5" s="75" t="s">
        <v>250</v>
      </c>
      <c r="C5" s="75" t="s">
        <v>249</v>
      </c>
      <c r="D5" s="75" t="s">
        <v>111</v>
      </c>
      <c r="E5" s="75" t="s">
        <v>248</v>
      </c>
      <c r="F5" s="70"/>
      <c r="G5" s="70"/>
      <c r="H5" s="70"/>
      <c r="I5" s="267"/>
      <c r="J5" s="267"/>
      <c r="K5" s="267"/>
      <c r="L5" s="267"/>
      <c r="M5" s="267"/>
      <c r="N5" s="267"/>
      <c r="O5" s="267"/>
      <c r="P5" s="69"/>
      <c r="Q5" s="69"/>
      <c r="R5" s="173"/>
      <c r="S5" s="173"/>
      <c r="T5" s="173"/>
    </row>
    <row r="6" spans="1:20" s="164" customFormat="1">
      <c r="A6" s="170"/>
      <c r="B6" s="170"/>
      <c r="C6" s="171">
        <f>SUM(C14:C27)</f>
        <v>21778321</v>
      </c>
      <c r="D6" s="366">
        <f>SUM(D14:D27)</f>
        <v>21778321</v>
      </c>
      <c r="E6" s="171"/>
      <c r="F6" s="166"/>
      <c r="G6" s="166"/>
      <c r="H6" s="166"/>
      <c r="I6" s="176">
        <f>'[2]проверка 2017'!I6</f>
        <v>0</v>
      </c>
      <c r="J6" s="176">
        <f>'[2]проверка 2017'!J6</f>
        <v>0</v>
      </c>
      <c r="K6" s="176">
        <v>4</v>
      </c>
      <c r="L6" s="176">
        <f>'[2]проверка 2017'!L6</f>
        <v>0</v>
      </c>
      <c r="M6" s="176">
        <v>1</v>
      </c>
      <c r="N6" s="176">
        <f>'[2]проверка 2017'!N6</f>
        <v>0</v>
      </c>
      <c r="O6" s="176">
        <f>'[2]проверка 2017'!O6</f>
        <v>0</v>
      </c>
      <c r="P6" s="69" t="s">
        <v>262</v>
      </c>
      <c r="Q6" s="69"/>
      <c r="R6" s="173"/>
      <c r="S6" s="173"/>
      <c r="T6" s="173"/>
    </row>
    <row r="7" spans="1:20" s="164" customFormat="1">
      <c r="A7" s="170">
        <v>211</v>
      </c>
      <c r="B7" s="169" t="s">
        <v>247</v>
      </c>
      <c r="C7" s="168">
        <v>13734277</v>
      </c>
      <c r="D7" s="177">
        <v>13734277</v>
      </c>
      <c r="E7" s="162"/>
      <c r="F7" s="70"/>
      <c r="G7" s="70"/>
      <c r="H7" s="70"/>
      <c r="I7" s="173">
        <v>2771.1</v>
      </c>
      <c r="J7" s="173"/>
      <c r="K7" s="173">
        <v>3576.45</v>
      </c>
      <c r="L7" s="173"/>
      <c r="M7" s="173">
        <v>3755.42</v>
      </c>
      <c r="N7" s="173"/>
      <c r="O7" s="173"/>
      <c r="P7" s="69" t="s">
        <v>261</v>
      </c>
      <c r="Q7" s="69"/>
      <c r="R7" s="173"/>
      <c r="S7" s="173"/>
      <c r="T7" s="173"/>
    </row>
    <row r="8" spans="1:20" s="164" customFormat="1">
      <c r="A8" s="170">
        <v>213</v>
      </c>
      <c r="B8" s="169" t="s">
        <v>247</v>
      </c>
      <c r="C8" s="168">
        <v>4147752</v>
      </c>
      <c r="D8" s="177">
        <v>4147752</v>
      </c>
      <c r="E8" s="162"/>
      <c r="F8" s="165"/>
      <c r="G8" s="165"/>
      <c r="H8" s="165">
        <f>I8*$I$4+J8*$J$4+K8*$K$4+L8*$L$4+M8*$M$4+N8*$N$4+O8*$O$4</f>
        <v>13070241.800000001</v>
      </c>
      <c r="I8" s="133">
        <v>16238.4</v>
      </c>
      <c r="J8" s="133">
        <v>37320</v>
      </c>
      <c r="K8" s="133">
        <v>23534.9</v>
      </c>
      <c r="L8" s="133">
        <v>61758.400000000001</v>
      </c>
      <c r="M8" s="133">
        <v>27062.400000000001</v>
      </c>
      <c r="N8" s="133">
        <v>97628</v>
      </c>
      <c r="O8" s="133">
        <f>IF(O4=0,0,ROUND((R8*R4+S8*S4+T8*T4)/O4,0))</f>
        <v>0</v>
      </c>
      <c r="P8" s="69" t="s">
        <v>259</v>
      </c>
      <c r="Q8" s="69"/>
      <c r="R8" s="173">
        <v>37320</v>
      </c>
      <c r="S8" s="173">
        <v>61758.400000000001</v>
      </c>
      <c r="T8" s="173">
        <v>97628</v>
      </c>
    </row>
    <row r="9" spans="1:20" s="164" customFormat="1">
      <c r="A9" s="170">
        <v>221</v>
      </c>
      <c r="B9" s="169" t="s">
        <v>247</v>
      </c>
      <c r="C9" s="168">
        <v>112577</v>
      </c>
      <c r="D9" s="177">
        <v>112577</v>
      </c>
      <c r="E9" s="162"/>
      <c r="F9" s="165"/>
      <c r="G9" s="165"/>
      <c r="H9" s="165">
        <f>I9*$I$4+J9*$J$4+K9*$K$4+L9*$L$4+M9*$M$4+N9*$N$4+O9*$O$4</f>
        <v>4900449.0000000009</v>
      </c>
      <c r="I9" s="133">
        <v>6045.4000000000005</v>
      </c>
      <c r="J9" s="133">
        <v>14160.8</v>
      </c>
      <c r="K9" s="133">
        <v>8854.2000000000007</v>
      </c>
      <c r="L9" s="133">
        <v>23568.399999999998</v>
      </c>
      <c r="M9" s="133">
        <v>10212.200000000001</v>
      </c>
      <c r="N9" s="133">
        <v>37376.5</v>
      </c>
      <c r="O9" s="133">
        <f>IF(O4=0,0,ROUND((R9*R4+S9*S4+T9*T4)/O4,0))</f>
        <v>0</v>
      </c>
      <c r="P9" s="69" t="s">
        <v>260</v>
      </c>
      <c r="Q9" s="69"/>
      <c r="R9" s="173">
        <v>14160.8</v>
      </c>
      <c r="S9" s="173">
        <v>23568.399999999998</v>
      </c>
      <c r="T9" s="173">
        <v>37376.5</v>
      </c>
    </row>
    <row r="10" spans="1:20" s="164" customFormat="1">
      <c r="A10" s="170">
        <v>226</v>
      </c>
      <c r="B10" s="169" t="s">
        <v>247</v>
      </c>
      <c r="C10" s="174">
        <v>23456</v>
      </c>
      <c r="D10" s="177">
        <v>23456</v>
      </c>
      <c r="E10" s="162"/>
      <c r="F10" s="165">
        <f>ROUND(C10/$E$4,2)</f>
        <v>36.82</v>
      </c>
      <c r="G10" s="165"/>
      <c r="H10" s="165"/>
      <c r="I10" s="67">
        <f>$F$10</f>
        <v>36.82</v>
      </c>
      <c r="J10" s="67">
        <f t="shared" ref="J10:O10" si="0">$F$10</f>
        <v>36.82</v>
      </c>
      <c r="K10" s="67">
        <f t="shared" si="0"/>
        <v>36.82</v>
      </c>
      <c r="L10" s="67">
        <f t="shared" si="0"/>
        <v>36.82</v>
      </c>
      <c r="M10" s="67">
        <f t="shared" si="0"/>
        <v>36.82</v>
      </c>
      <c r="N10" s="67">
        <f t="shared" si="0"/>
        <v>36.82</v>
      </c>
      <c r="O10" s="67">
        <f t="shared" si="0"/>
        <v>36.82</v>
      </c>
      <c r="P10" s="69"/>
      <c r="Q10" s="69"/>
      <c r="R10" s="69"/>
      <c r="S10" s="69"/>
      <c r="T10" s="69"/>
    </row>
    <row r="11" spans="1:20" s="164" customFormat="1">
      <c r="A11" s="170">
        <v>226</v>
      </c>
      <c r="B11" s="169" t="s">
        <v>247</v>
      </c>
      <c r="C11" s="168">
        <f>46276-C10</f>
        <v>22820</v>
      </c>
      <c r="D11" s="177">
        <f>46276-D10</f>
        <v>22820</v>
      </c>
      <c r="E11" s="162"/>
      <c r="F11" s="165"/>
      <c r="G11" s="165"/>
      <c r="H11" s="165"/>
      <c r="I11" s="266"/>
      <c r="J11" s="266"/>
      <c r="K11" s="266"/>
      <c r="L11" s="266"/>
      <c r="M11" s="266"/>
      <c r="N11" s="266"/>
      <c r="O11" s="266"/>
      <c r="P11" s="69"/>
      <c r="Q11" s="69"/>
      <c r="R11" s="69"/>
      <c r="S11" s="69"/>
      <c r="T11" s="69"/>
    </row>
    <row r="12" spans="1:20" s="164" customFormat="1">
      <c r="A12" s="170">
        <v>310</v>
      </c>
      <c r="B12" s="169" t="s">
        <v>247</v>
      </c>
      <c r="C12" s="168">
        <v>160700</v>
      </c>
      <c r="D12" s="177">
        <v>160700</v>
      </c>
      <c r="E12" s="162"/>
      <c r="F12" s="165"/>
      <c r="G12" s="166"/>
      <c r="N12" s="67"/>
      <c r="O12" s="69"/>
      <c r="P12" s="69"/>
      <c r="Q12" s="69"/>
      <c r="R12" s="69"/>
    </row>
    <row r="13" spans="1:20" s="164" customFormat="1">
      <c r="A13" s="170">
        <v>340</v>
      </c>
      <c r="B13" s="169" t="s">
        <v>247</v>
      </c>
      <c r="C13" s="168">
        <v>46731</v>
      </c>
      <c r="D13" s="177">
        <v>46731</v>
      </c>
      <c r="E13" s="162"/>
      <c r="F13" s="165"/>
      <c r="G13" s="165"/>
    </row>
    <row r="14" spans="1:20" s="164" customFormat="1" ht="13.5" thickBot="1">
      <c r="A14" s="170"/>
      <c r="B14" s="169"/>
      <c r="C14" s="177">
        <f>SUM(C7:C13)</f>
        <v>18248313</v>
      </c>
      <c r="D14" s="177">
        <f>SUM(D7:D13)</f>
        <v>18248313</v>
      </c>
      <c r="E14" s="177"/>
      <c r="F14" s="165"/>
      <c r="G14" s="166">
        <f>H14-C14</f>
        <v>-246836.22000000253</v>
      </c>
      <c r="H14" s="165">
        <f>I14*$I$4+J4*$J$14+K14*$K$4+L14*$L$4+M14*$M$4+N14*$N$4+O14*$O$4</f>
        <v>18001476.779999997</v>
      </c>
      <c r="I14" s="147">
        <f>ROUND(IF(I4=0,0,I8+I9+I10)+IF(I6=0,0,I7/I4),2)</f>
        <v>22320.62</v>
      </c>
      <c r="J14" s="147">
        <f t="shared" ref="J14:O14" si="1">ROUND(IF(J4=0,0,J8+J9+J10)+IF(J6=0,0,J7/J4),2)</f>
        <v>0</v>
      </c>
      <c r="K14" s="147">
        <f t="shared" si="1"/>
        <v>32437.919999999998</v>
      </c>
      <c r="L14" s="147">
        <f t="shared" si="1"/>
        <v>0</v>
      </c>
      <c r="M14" s="147">
        <f t="shared" si="1"/>
        <v>37385.06</v>
      </c>
      <c r="N14" s="147">
        <f t="shared" si="1"/>
        <v>0</v>
      </c>
      <c r="O14" s="147">
        <f t="shared" si="1"/>
        <v>0</v>
      </c>
      <c r="P14" s="265"/>
    </row>
    <row r="15" spans="1:20" s="164" customFormat="1">
      <c r="A15" s="170"/>
      <c r="B15" s="169"/>
      <c r="C15" s="177"/>
      <c r="D15" s="177"/>
      <c r="E15" s="177"/>
      <c r="F15" s="165"/>
      <c r="G15" s="166"/>
      <c r="H15" s="165" t="s">
        <v>264</v>
      </c>
      <c r="I15" s="164">
        <f>-ROUND($G$14/$E$4,2)</f>
        <v>387.5</v>
      </c>
      <c r="J15" s="164">
        <f t="shared" ref="J15:O15" si="2">-ROUND($G$14/$E$4,2)</f>
        <v>387.5</v>
      </c>
      <c r="K15" s="164">
        <f t="shared" si="2"/>
        <v>387.5</v>
      </c>
      <c r="L15" s="164">
        <f t="shared" si="2"/>
        <v>387.5</v>
      </c>
      <c r="M15" s="164">
        <f t="shared" si="2"/>
        <v>387.5</v>
      </c>
      <c r="N15" s="164">
        <f t="shared" si="2"/>
        <v>387.5</v>
      </c>
      <c r="O15" s="164">
        <f t="shared" si="2"/>
        <v>387.5</v>
      </c>
    </row>
    <row r="16" spans="1:20" s="164" customFormat="1">
      <c r="A16" s="170"/>
      <c r="B16" s="169"/>
      <c r="C16" s="177"/>
      <c r="D16" s="177"/>
      <c r="E16" s="177"/>
      <c r="F16" s="165"/>
      <c r="G16" s="166">
        <f>C14-H16</f>
        <v>-1.2799999974668026</v>
      </c>
      <c r="H16" s="165">
        <f>I16*$I$4+J16*$J$4+K16*$K$4+L16*$L$4+M16*$M$4+N16*$N$4+O16*$O$4</f>
        <v>18248314.279999997</v>
      </c>
      <c r="I16" s="164">
        <f t="shared" ref="I16:O16" si="3">I14+I15</f>
        <v>22708.12</v>
      </c>
      <c r="J16" s="164">
        <f t="shared" si="3"/>
        <v>387.5</v>
      </c>
      <c r="K16" s="164">
        <f t="shared" si="3"/>
        <v>32825.42</v>
      </c>
      <c r="L16" s="164">
        <f t="shared" si="3"/>
        <v>387.5</v>
      </c>
      <c r="M16" s="164">
        <f t="shared" si="3"/>
        <v>37772.559999999998</v>
      </c>
      <c r="N16" s="164">
        <f t="shared" si="3"/>
        <v>387.5</v>
      </c>
      <c r="O16" s="164">
        <f t="shared" si="3"/>
        <v>387.5</v>
      </c>
    </row>
    <row r="17" spans="1:21">
      <c r="A17" s="75">
        <v>211</v>
      </c>
      <c r="B17" s="75">
        <v>901</v>
      </c>
      <c r="C17" s="163">
        <v>880992</v>
      </c>
      <c r="D17" s="367">
        <v>880992</v>
      </c>
      <c r="E17" s="162"/>
      <c r="F17" s="165">
        <f>ROUND(C17/$E$4,2)</f>
        <v>1383.03</v>
      </c>
      <c r="G17" s="166">
        <f>H17-C17</f>
        <v>-1.8899999998975545</v>
      </c>
      <c r="H17" s="165">
        <f t="shared" ref="H17:H27" si="4">I17*$I$4+J17*$J$4+K17*$K$4+L17*$L$4+M17*$M$4+N17*$N$4+O17*$O$4</f>
        <v>880990.1100000001</v>
      </c>
      <c r="I17" s="67">
        <f>IF($I$4=0,0,F17)</f>
        <v>1383.03</v>
      </c>
      <c r="J17" s="67">
        <f>IF($J$4=0,0,F17)</f>
        <v>0</v>
      </c>
      <c r="K17" s="67">
        <f>IF($K$4=0,0,F17)</f>
        <v>1383.03</v>
      </c>
      <c r="L17" s="67">
        <f>IF($L$4=0,0,F17)</f>
        <v>0</v>
      </c>
      <c r="M17" s="67">
        <f>IF($M$4=0,0,F17)</f>
        <v>1383.03</v>
      </c>
      <c r="N17" s="67">
        <f>IF($N$4=0,0,F17)</f>
        <v>0</v>
      </c>
      <c r="O17" s="67">
        <f>IF($O$4=0,0,F17)</f>
        <v>0</v>
      </c>
      <c r="R17" s="69"/>
      <c r="S17" s="69"/>
      <c r="T17" s="69"/>
      <c r="U17" s="69"/>
    </row>
    <row r="18" spans="1:21">
      <c r="A18" s="75">
        <v>212</v>
      </c>
      <c r="B18" s="75">
        <v>901</v>
      </c>
      <c r="C18" s="163">
        <v>3000</v>
      </c>
      <c r="D18" s="367">
        <v>3000</v>
      </c>
      <c r="E18" s="162"/>
      <c r="F18" s="165">
        <f t="shared" ref="F18:F27" si="5">ROUND(C18/$E$4,2)</f>
        <v>4.71</v>
      </c>
      <c r="G18" s="166">
        <f t="shared" ref="G18:G27" si="6">H18-C18</f>
        <v>0.26999999999998181</v>
      </c>
      <c r="H18" s="165">
        <f t="shared" si="4"/>
        <v>3000.27</v>
      </c>
      <c r="I18" s="67">
        <f t="shared" ref="I18:I27" si="7">IF($I$4=0,0,F18)</f>
        <v>4.71</v>
      </c>
      <c r="J18" s="67">
        <f t="shared" ref="J18:J27" si="8">IF($J$4=0,0,F18)</f>
        <v>0</v>
      </c>
      <c r="K18" s="67">
        <f t="shared" ref="K18:K27" si="9">IF($K$4=0,0,I18)</f>
        <v>4.71</v>
      </c>
      <c r="L18" s="67">
        <f t="shared" ref="L18:L27" si="10">IF($L$4=0,0,F18)</f>
        <v>0</v>
      </c>
      <c r="M18" s="67">
        <f t="shared" ref="M18:M27" si="11">IF($M$4=0,0,F18)</f>
        <v>4.71</v>
      </c>
      <c r="N18" s="67">
        <f t="shared" ref="N18:N27" si="12">IF($N$4=0,0,F18)</f>
        <v>0</v>
      </c>
      <c r="O18" s="67">
        <f t="shared" ref="O18:O27" si="13">IF($O$4=0,0,F18)</f>
        <v>0</v>
      </c>
      <c r="R18" s="69"/>
      <c r="S18" s="69"/>
      <c r="T18" s="69"/>
      <c r="U18" s="69"/>
    </row>
    <row r="19" spans="1:21">
      <c r="A19" s="75">
        <v>213</v>
      </c>
      <c r="B19" s="75">
        <v>901</v>
      </c>
      <c r="C19" s="163">
        <v>266060</v>
      </c>
      <c r="D19" s="367">
        <v>266060</v>
      </c>
      <c r="E19" s="162"/>
      <c r="F19" s="165">
        <f t="shared" si="5"/>
        <v>417.68</v>
      </c>
      <c r="G19" s="166">
        <f t="shared" si="6"/>
        <v>2.1599999999743886</v>
      </c>
      <c r="H19" s="165">
        <f t="shared" si="4"/>
        <v>266062.15999999997</v>
      </c>
      <c r="I19" s="67">
        <f t="shared" si="7"/>
        <v>417.68</v>
      </c>
      <c r="J19" s="67">
        <f t="shared" si="8"/>
        <v>0</v>
      </c>
      <c r="K19" s="67">
        <f t="shared" si="9"/>
        <v>417.68</v>
      </c>
      <c r="L19" s="67">
        <f t="shared" si="10"/>
        <v>0</v>
      </c>
      <c r="M19" s="67">
        <f t="shared" si="11"/>
        <v>417.68</v>
      </c>
      <c r="N19" s="67">
        <f t="shared" si="12"/>
        <v>0</v>
      </c>
      <c r="O19" s="67">
        <f t="shared" si="13"/>
        <v>0</v>
      </c>
    </row>
    <row r="20" spans="1:21">
      <c r="A20" s="75">
        <v>221</v>
      </c>
      <c r="B20" s="75">
        <v>901</v>
      </c>
      <c r="C20" s="163">
        <v>15111</v>
      </c>
      <c r="D20" s="367">
        <v>15111</v>
      </c>
      <c r="E20" s="162"/>
      <c r="F20" s="165">
        <f t="shared" si="5"/>
        <v>23.72</v>
      </c>
      <c r="G20" s="166">
        <f t="shared" si="6"/>
        <v>-1.3600000000024011</v>
      </c>
      <c r="H20" s="165">
        <f t="shared" si="4"/>
        <v>15109.639999999998</v>
      </c>
      <c r="I20" s="67">
        <f t="shared" si="7"/>
        <v>23.72</v>
      </c>
      <c r="J20" s="67">
        <f t="shared" si="8"/>
        <v>0</v>
      </c>
      <c r="K20" s="67">
        <f t="shared" si="9"/>
        <v>23.72</v>
      </c>
      <c r="L20" s="67">
        <f t="shared" si="10"/>
        <v>0</v>
      </c>
      <c r="M20" s="67">
        <f t="shared" si="11"/>
        <v>23.72</v>
      </c>
      <c r="N20" s="67">
        <f t="shared" si="12"/>
        <v>0</v>
      </c>
      <c r="O20" s="67">
        <f t="shared" si="13"/>
        <v>0</v>
      </c>
    </row>
    <row r="21" spans="1:21">
      <c r="A21" s="75">
        <v>222</v>
      </c>
      <c r="B21" s="75">
        <v>901</v>
      </c>
      <c r="C21" s="163"/>
      <c r="D21" s="367"/>
      <c r="E21" s="162"/>
      <c r="F21" s="165">
        <f t="shared" si="5"/>
        <v>0</v>
      </c>
      <c r="G21" s="166">
        <f t="shared" si="6"/>
        <v>0</v>
      </c>
      <c r="H21" s="165">
        <f t="shared" si="4"/>
        <v>0</v>
      </c>
      <c r="I21" s="67">
        <f t="shared" si="7"/>
        <v>0</v>
      </c>
      <c r="J21" s="67">
        <f t="shared" si="8"/>
        <v>0</v>
      </c>
      <c r="K21" s="67">
        <f t="shared" si="9"/>
        <v>0</v>
      </c>
      <c r="L21" s="67">
        <f t="shared" si="10"/>
        <v>0</v>
      </c>
      <c r="M21" s="67">
        <f t="shared" si="11"/>
        <v>0</v>
      </c>
      <c r="N21" s="67">
        <f t="shared" si="12"/>
        <v>0</v>
      </c>
      <c r="O21" s="67">
        <f t="shared" si="13"/>
        <v>0</v>
      </c>
    </row>
    <row r="22" spans="1:21">
      <c r="A22" s="75">
        <v>223</v>
      </c>
      <c r="B22" s="75">
        <v>901</v>
      </c>
      <c r="C22" s="163">
        <v>1163442</v>
      </c>
      <c r="D22" s="367">
        <v>1163442</v>
      </c>
      <c r="E22" s="162"/>
      <c r="F22" s="165">
        <f t="shared" si="5"/>
        <v>1826.44</v>
      </c>
      <c r="G22" s="166">
        <f t="shared" si="6"/>
        <v>0.27999999979510903</v>
      </c>
      <c r="H22" s="165">
        <f t="shared" si="4"/>
        <v>1163442.2799999998</v>
      </c>
      <c r="I22" s="67">
        <f t="shared" si="7"/>
        <v>1826.44</v>
      </c>
      <c r="J22" s="67">
        <f t="shared" si="8"/>
        <v>0</v>
      </c>
      <c r="K22" s="67">
        <f t="shared" si="9"/>
        <v>1826.44</v>
      </c>
      <c r="L22" s="67">
        <f t="shared" si="10"/>
        <v>0</v>
      </c>
      <c r="M22" s="67">
        <f t="shared" si="11"/>
        <v>1826.44</v>
      </c>
      <c r="N22" s="67">
        <f t="shared" si="12"/>
        <v>0</v>
      </c>
      <c r="O22" s="67">
        <f t="shared" si="13"/>
        <v>0</v>
      </c>
    </row>
    <row r="23" spans="1:21">
      <c r="A23" s="75">
        <v>224</v>
      </c>
      <c r="B23" s="75">
        <v>901</v>
      </c>
      <c r="C23" s="163"/>
      <c r="D23" s="367"/>
      <c r="E23" s="162"/>
      <c r="F23" s="165">
        <f t="shared" si="5"/>
        <v>0</v>
      </c>
      <c r="G23" s="166">
        <f t="shared" si="6"/>
        <v>0</v>
      </c>
      <c r="H23" s="165">
        <f t="shared" si="4"/>
        <v>0</v>
      </c>
      <c r="I23" s="67">
        <f t="shared" si="7"/>
        <v>0</v>
      </c>
      <c r="J23" s="67">
        <f t="shared" si="8"/>
        <v>0</v>
      </c>
      <c r="K23" s="67">
        <f t="shared" si="9"/>
        <v>0</v>
      </c>
      <c r="L23" s="67">
        <f t="shared" si="10"/>
        <v>0</v>
      </c>
      <c r="M23" s="67">
        <f t="shared" si="11"/>
        <v>0</v>
      </c>
      <c r="N23" s="67">
        <f t="shared" si="12"/>
        <v>0</v>
      </c>
      <c r="O23" s="67">
        <f t="shared" si="13"/>
        <v>0</v>
      </c>
    </row>
    <row r="24" spans="1:21">
      <c r="A24" s="75">
        <v>225</v>
      </c>
      <c r="B24" s="75">
        <v>901</v>
      </c>
      <c r="C24" s="163">
        <v>198661</v>
      </c>
      <c r="D24" s="367">
        <v>198661</v>
      </c>
      <c r="E24" s="162"/>
      <c r="F24" s="165">
        <f t="shared" si="5"/>
        <v>311.87</v>
      </c>
      <c r="G24" s="166">
        <f t="shared" si="6"/>
        <v>0.19000000000232831</v>
      </c>
      <c r="H24" s="165">
        <f t="shared" si="4"/>
        <v>198661.19</v>
      </c>
      <c r="I24" s="67">
        <f t="shared" si="7"/>
        <v>311.87</v>
      </c>
      <c r="J24" s="67">
        <f t="shared" si="8"/>
        <v>0</v>
      </c>
      <c r="K24" s="67">
        <f t="shared" si="9"/>
        <v>311.87</v>
      </c>
      <c r="L24" s="67">
        <f t="shared" si="10"/>
        <v>0</v>
      </c>
      <c r="M24" s="67">
        <f t="shared" si="11"/>
        <v>311.87</v>
      </c>
      <c r="N24" s="67">
        <f t="shared" si="12"/>
        <v>0</v>
      </c>
      <c r="O24" s="67">
        <f t="shared" si="13"/>
        <v>0</v>
      </c>
    </row>
    <row r="25" spans="1:21">
      <c r="A25" s="75">
        <v>226</v>
      </c>
      <c r="B25" s="75">
        <v>901</v>
      </c>
      <c r="C25" s="163">
        <v>114956</v>
      </c>
      <c r="D25" s="367">
        <v>114956</v>
      </c>
      <c r="E25" s="162"/>
      <c r="F25" s="165">
        <f t="shared" si="5"/>
        <v>180.46</v>
      </c>
      <c r="G25" s="166">
        <f t="shared" si="6"/>
        <v>-2.9799999999959255</v>
      </c>
      <c r="H25" s="165">
        <f t="shared" si="4"/>
        <v>114953.02</v>
      </c>
      <c r="I25" s="67">
        <f t="shared" si="7"/>
        <v>180.46</v>
      </c>
      <c r="J25" s="67">
        <f t="shared" si="8"/>
        <v>0</v>
      </c>
      <c r="K25" s="67">
        <f t="shared" si="9"/>
        <v>180.46</v>
      </c>
      <c r="L25" s="67">
        <f t="shared" si="10"/>
        <v>0</v>
      </c>
      <c r="M25" s="67">
        <f t="shared" si="11"/>
        <v>180.46</v>
      </c>
      <c r="N25" s="67">
        <f t="shared" si="12"/>
        <v>0</v>
      </c>
      <c r="O25" s="67">
        <f t="shared" si="13"/>
        <v>0</v>
      </c>
    </row>
    <row r="26" spans="1:21">
      <c r="A26" s="75">
        <v>290</v>
      </c>
      <c r="B26" s="75">
        <v>901</v>
      </c>
      <c r="C26" s="163">
        <v>887786</v>
      </c>
      <c r="D26" s="367">
        <v>887786</v>
      </c>
      <c r="E26" s="162"/>
      <c r="F26" s="165">
        <f>ROUND(C26/$E$4,2)</f>
        <v>1393.7</v>
      </c>
      <c r="G26" s="166">
        <f t="shared" si="6"/>
        <v>0.90000000002328306</v>
      </c>
      <c r="H26" s="165">
        <f t="shared" si="4"/>
        <v>887786.9</v>
      </c>
      <c r="I26" s="67">
        <f t="shared" si="7"/>
        <v>1393.7</v>
      </c>
      <c r="J26" s="67">
        <f t="shared" si="8"/>
        <v>0</v>
      </c>
      <c r="K26" s="67">
        <f t="shared" si="9"/>
        <v>1393.7</v>
      </c>
      <c r="L26" s="67">
        <f t="shared" si="10"/>
        <v>0</v>
      </c>
      <c r="M26" s="67">
        <f t="shared" si="11"/>
        <v>1393.7</v>
      </c>
      <c r="N26" s="67">
        <f t="shared" si="12"/>
        <v>0</v>
      </c>
      <c r="O26" s="67">
        <f t="shared" si="13"/>
        <v>0</v>
      </c>
    </row>
    <row r="27" spans="1:21">
      <c r="A27" s="75">
        <v>340</v>
      </c>
      <c r="B27" s="75">
        <v>901</v>
      </c>
      <c r="C27" s="163"/>
      <c r="D27" s="162"/>
      <c r="E27" s="162"/>
      <c r="F27" s="165">
        <f t="shared" si="5"/>
        <v>0</v>
      </c>
      <c r="G27" s="166">
        <f t="shared" si="6"/>
        <v>0</v>
      </c>
      <c r="H27" s="165">
        <f t="shared" si="4"/>
        <v>0</v>
      </c>
      <c r="I27" s="67">
        <f t="shared" si="7"/>
        <v>0</v>
      </c>
      <c r="J27" s="67">
        <f t="shared" si="8"/>
        <v>0</v>
      </c>
      <c r="K27" s="67">
        <f t="shared" si="9"/>
        <v>0</v>
      </c>
      <c r="L27" s="67">
        <f t="shared" si="10"/>
        <v>0</v>
      </c>
      <c r="M27" s="67">
        <f t="shared" si="11"/>
        <v>0</v>
      </c>
      <c r="N27" s="67">
        <f t="shared" si="12"/>
        <v>0</v>
      </c>
      <c r="O27" s="67">
        <f t="shared" si="13"/>
        <v>0</v>
      </c>
    </row>
    <row r="28" spans="1:21">
      <c r="F28" s="70"/>
      <c r="G28" s="175">
        <f>G16+G17+G18+G19+G20+G21+G22+G23+G24+G25+G26+G27</f>
        <v>-3.7099999975675928</v>
      </c>
      <c r="H28" s="164">
        <f>H16+H17+H18+H19+H20+H21+H22+H23+H24+H25+H26+H27</f>
        <v>21778319.849999998</v>
      </c>
      <c r="I28" s="164">
        <f>IF(I4=0,0,I16+I17+I18+I19+I20+I21+I22+I23+I24+I25+I26+I27)</f>
        <v>28249.729999999996</v>
      </c>
      <c r="J28" s="164">
        <f t="shared" ref="J28:O28" si="14">IF(J4=0,0,J16+J17+J18+J19+J20+J21+J22+J23+J24+J25+J26+J27)</f>
        <v>0</v>
      </c>
      <c r="K28" s="164">
        <f t="shared" si="14"/>
        <v>38367.03</v>
      </c>
      <c r="L28" s="164">
        <f t="shared" si="14"/>
        <v>0</v>
      </c>
      <c r="M28" s="164">
        <f t="shared" si="14"/>
        <v>43314.17</v>
      </c>
      <c r="N28" s="164">
        <f t="shared" si="14"/>
        <v>0</v>
      </c>
      <c r="O28" s="164">
        <f t="shared" si="14"/>
        <v>0</v>
      </c>
      <c r="P28" s="164"/>
    </row>
    <row r="29" spans="1:21">
      <c r="I29" s="530">
        <f>IF((I4+J4)=0,0,ROUND((I28*I4+J28*J4)/(I4+J4),2))</f>
        <v>28249.73</v>
      </c>
      <c r="J29" s="530"/>
      <c r="K29" s="530">
        <f>IF((K4+L4)=0,0,ROUND((K28*K4+L28*L4)/(K4+L4),2))</f>
        <v>38367.03</v>
      </c>
      <c r="L29" s="530"/>
      <c r="M29" s="530">
        <f>IF((M4+N4)=0,0,ROUND((M28*M4+N28*N4)/(M4+N4),2))</f>
        <v>43314.17</v>
      </c>
      <c r="N29" s="530"/>
      <c r="O29" s="67">
        <f>O28</f>
        <v>0</v>
      </c>
    </row>
    <row r="30" spans="1:21">
      <c r="N30" s="84"/>
    </row>
    <row r="32" spans="1:21">
      <c r="I32" s="84">
        <f>I29*(I4+J4)+K29*(K4+L4)+M29*(M4+N4)+O4*O29-C6</f>
        <v>-1.1499999985098839</v>
      </c>
    </row>
    <row r="50" spans="1:5">
      <c r="A50" s="68" t="s">
        <v>394</v>
      </c>
    </row>
    <row r="53" spans="1:5">
      <c r="A53" s="67" t="s">
        <v>258</v>
      </c>
      <c r="E53" s="68" t="s">
        <v>392</v>
      </c>
    </row>
  </sheetData>
  <mergeCells count="7">
    <mergeCell ref="I29:J29"/>
    <mergeCell ref="K29:L29"/>
    <mergeCell ref="M29:N29"/>
    <mergeCell ref="A2:E2"/>
    <mergeCell ref="I2:J2"/>
    <mergeCell ref="K2:L2"/>
    <mergeCell ref="M2:N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мз</vt:lpstr>
      <vt:lpstr>свод</vt:lpstr>
      <vt:lpstr>пр.1+2 </vt:lpstr>
      <vt:lpstr>пр.3</vt:lpstr>
      <vt:lpstr>пр.4</vt:lpstr>
      <vt:lpstr>пр.5</vt:lpstr>
      <vt:lpstr>пр.6</vt:lpstr>
      <vt:lpstr>проверка 2017</vt:lpstr>
      <vt:lpstr>проверка 2018</vt:lpstr>
      <vt:lpstr>проверка 2019</vt:lpstr>
      <vt:lpstr>304</vt:lpstr>
      <vt:lpstr>мз!Область_печати</vt:lpstr>
      <vt:lpstr>'пр.1+2 '!Область_печати</vt:lpstr>
      <vt:lpstr>свод!Область_печати</vt:lpstr>
    </vt:vector>
  </TitlesOfParts>
  <Company>Управление образования города Пензы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smetanina</dc:creator>
  <cp:lastModifiedBy>glbuh</cp:lastModifiedBy>
  <cp:lastPrinted>2018-03-06T11:49:39Z</cp:lastPrinted>
  <dcterms:created xsi:type="dcterms:W3CDTF">2015-12-22T12:42:46Z</dcterms:created>
  <dcterms:modified xsi:type="dcterms:W3CDTF">2018-03-06T11:50:32Z</dcterms:modified>
</cp:coreProperties>
</file>