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7"/>
  </bookViews>
  <sheets>
    <sheet name="мз" sheetId="1" r:id="rId1"/>
    <sheet name="свод" sheetId="2" r:id="rId2"/>
    <sheet name="пр.1+2 " sheetId="3" r:id="rId3"/>
    <sheet name="пр.3" sheetId="4" r:id="rId4"/>
    <sheet name="пр.4" sheetId="5" r:id="rId5"/>
    <sheet name="пр.5" sheetId="6" r:id="rId6"/>
    <sheet name="пр.6" sheetId="7" r:id="rId7"/>
    <sheet name="проверка" sheetId="8" r:id="rId8"/>
    <sheet name="304" sheetId="9" r:id="rId9"/>
  </sheets>
  <definedNames>
    <definedName name="_xlnm.Print_Area" localSheetId="0">'мз'!$A$1:$P$380</definedName>
    <definedName name="_xlnm.Print_Area" localSheetId="2">'пр.1+2 '!$A$1:$G$80</definedName>
    <definedName name="_xlnm.Print_Area" localSheetId="1">'свод'!$A$1:$J$150</definedName>
  </definedNames>
  <calcPr fullCalcOnLoad="1"/>
</workbook>
</file>

<file path=xl/comments3.xml><?xml version="1.0" encoding="utf-8"?>
<comments xmlns="http://schemas.openxmlformats.org/spreadsheetml/2006/main">
  <authors>
    <author>Кочнева Юлия</author>
  </authors>
  <commentList>
    <comment ref="C45" authorId="0">
      <text>
        <r>
          <rPr>
            <b/>
            <sz val="8"/>
            <rFont val="Tahoma"/>
            <family val="2"/>
          </rPr>
          <t>Кочнева Юлия:</t>
        </r>
        <r>
          <rPr>
            <sz val="8"/>
            <rFont val="Tahoma"/>
            <family val="2"/>
          </rPr>
          <t xml:space="preserve">
здесь добавлены одаренные дети
</t>
        </r>
      </text>
    </comment>
  </commentList>
</comments>
</file>

<file path=xl/sharedStrings.xml><?xml version="1.0" encoding="utf-8"?>
<sst xmlns="http://schemas.openxmlformats.org/spreadsheetml/2006/main" count="1010" uniqueCount="398">
  <si>
    <t>на 2016 год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</si>
  <si>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</si>
  <si>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</si>
  <si>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</si>
  <si>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 из базового (отраслевого) перечня)</t>
  </si>
  <si>
    <t>по Сводному реестру</t>
  </si>
  <si>
    <t>по ОКВЭД</t>
  </si>
  <si>
    <t>Дата</t>
  </si>
  <si>
    <t>Форма по ОКУД</t>
  </si>
  <si>
    <t>0506001</t>
  </si>
  <si>
    <t>Коды</t>
  </si>
  <si>
    <t>УТВЕРЖДАЮ</t>
  </si>
  <si>
    <t>Часть 1. Сведения об оказываемых муниципальных услугах &lt;1&gt;</t>
  </si>
  <si>
    <t>1. Наименование муниципальной услуги</t>
  </si>
  <si>
    <t>2. Категории потребителей муниципальной услуги</t>
  </si>
  <si>
    <t>Уникальный номер</t>
  </si>
  <si>
    <t>по базовому (отраслевому)</t>
  </si>
  <si>
    <t>перечню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</si>
  <si>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</si>
  <si>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</si>
  <si>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</si>
  <si>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t>3.1. Показатели, характеризующие качество муниципальной услуги &lt;2&gt;:</t>
  </si>
  <si>
    <t>Уникальный номер реестровой записи</t>
  </si>
  <si>
    <t>Показатель, характеризующий содержание муниципальной услуги</t>
  </si>
  <si>
    <t>(наименование показателя)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</si>
  <si>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</si>
  <si>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</si>
  <si>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</si>
  <si>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</si>
  <si>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</si>
  <si>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</si>
  <si>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</si>
  <si>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</si>
  <si>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</si>
  <si>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</si>
  <si>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считается 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</si>
  <si>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</si>
  <si>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</si>
  <si>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</si>
  <si>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Среднеговой размер платы (цена, тариф)</t>
  </si>
  <si>
    <t xml:space="preserve">допустимые (возможные) отклонения от установленных показателей объема муниципальной услуги, в пределах которых муниципальное задание считается 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</si>
  <si>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</si>
  <si>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</si>
  <si>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</si>
  <si>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</si>
  <si>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</si>
  <si>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</si>
  <si>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</si>
  <si>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</si>
  <si>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</si>
  <si>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</si>
  <si>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</si>
  <si>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</si>
  <si>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</si>
  <si>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</si>
  <si>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5.2. Порядок 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</si>
  <si>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</si>
  <si>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</si>
  <si>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</si>
  <si>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</si>
  <si>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</si>
  <si>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</si>
  <si>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</si>
  <si>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</si>
  <si>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</si>
  <si>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</si>
  <si>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</si>
  <si>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</si>
  <si>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</si>
  <si>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</si>
  <si>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</si>
  <si>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 xml:space="preserve">допустимые (возможные) отклонения от установленных показателей объема работы, в пределах которых муниципальное задание считается </t>
  </si>
  <si>
    <t>Часть 3. Прочие сведения о муниципальном задании &lt;1&gt;</t>
  </si>
  <si>
    <t>1. Основание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</si>
  <si>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</si>
  <si>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</si>
  <si>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Периодичность</t>
  </si>
  <si>
    <t>Федеральные 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</si>
  <si>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</si>
  <si>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</si>
  <si>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</si>
  <si>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</si>
  <si>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 &lt;2&gt;</t>
  </si>
  <si>
    <t>&lt;1&gt; Заполняется вцелом по муниципальному заданию</t>
  </si>
  <si>
    <t>&lt;2&gt; В числе иных показателей может быть указано допустимое (возможное) отклонение муниципального задания, в пределах которого оно считается выполненным,</t>
  </si>
  <si>
    <t>при принятии органом, осуществляющим функции и полномочия учредителя бюджетных или автономных учреждений, решения об установлении общего допустимого (возможного)</t>
  </si>
  <si>
    <t>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</t>
  </si>
  <si>
    <t>предусмотренные в пп. 3.1 и 3.2 настоящего муниципального задания, не заполняются</t>
  </si>
  <si>
    <t>начального общего образования</t>
  </si>
  <si>
    <t xml:space="preserve">Реализация основных общеобразовательных программ </t>
  </si>
  <si>
    <t>физические лица</t>
  </si>
  <si>
    <t>очная</t>
  </si>
  <si>
    <t>Очно-заочная</t>
  </si>
  <si>
    <t>Число обучающихся</t>
  </si>
  <si>
    <t>человек</t>
  </si>
  <si>
    <t>Образование и наука</t>
  </si>
  <si>
    <t>Общеобразовательная организация</t>
  </si>
  <si>
    <t>80.10.2</t>
  </si>
  <si>
    <t>11.787.0</t>
  </si>
  <si>
    <t>Удельный вес учащихся, освоивших программы начального общего, основного общего, среднего общего образования по результатам промежуточной аттестации</t>
  </si>
  <si>
    <t>Процент</t>
  </si>
  <si>
    <t>основного общего образования</t>
  </si>
  <si>
    <t>11.791.0</t>
  </si>
  <si>
    <t>80.21.1</t>
  </si>
  <si>
    <t xml:space="preserve">000000000005630015211787000301000105006101101 </t>
  </si>
  <si>
    <t xml:space="preserve">000000000005630015211791000301000101004101101 </t>
  </si>
  <si>
    <t xml:space="preserve">000000000005630015211794000301000101001101101 </t>
  </si>
  <si>
    <t>среднего общего образования</t>
  </si>
  <si>
    <t>11.794.0</t>
  </si>
  <si>
    <t>80.21.2</t>
  </si>
  <si>
    <t>11.788.0</t>
  </si>
  <si>
    <t>Физические лица с ограниченными возможностями здоровья и дети-инвалиды</t>
  </si>
  <si>
    <t xml:space="preserve">000000000005630015211788001000100005006101101 </t>
  </si>
  <si>
    <t xml:space="preserve">Организация и проведение олимпиад, конкурсов, мероприятий, </t>
  </si>
  <si>
    <t>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</si>
  <si>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В интересах общества</t>
  </si>
  <si>
    <t xml:space="preserve">000000000005630015211034100000000000005101102 </t>
  </si>
  <si>
    <t>Доля победителей и призеров городского, областного, всероссийского, международного уровней (олимпиады, конкурсы, соревнования и иные конкурсные мероприятия для обучающихся) от общего количества участников названных мероприятий</t>
  </si>
  <si>
    <t>Количество мероприятий</t>
  </si>
  <si>
    <t>штука</t>
  </si>
  <si>
    <t>11.034.1</t>
  </si>
  <si>
    <t>итого</t>
  </si>
  <si>
    <t>начисления на оплату труда</t>
  </si>
  <si>
    <t>норматив</t>
  </si>
  <si>
    <t>k увеличения</t>
  </si>
  <si>
    <t>количество месяцев</t>
  </si>
  <si>
    <t>k стимулирования</t>
  </si>
  <si>
    <t>Оклад с учетом k специфики</t>
  </si>
  <si>
    <t>кол-во ставок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</si>
  <si>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</si>
  <si>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 xml:space="preserve"> </t>
  </si>
  <si>
    <t>расходы на на получение компенсационных выплат по уходу за ребенком</t>
  </si>
  <si>
    <t>количество работников, имеющих право на получение компенсационных выплат по уходу за ребенком</t>
  </si>
  <si>
    <t>норматив на а компенсационные выплаты по уходу за ребенком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</si>
  <si>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</si>
  <si>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>Расчет норматива затрат ,непосредственно  не связанных с оказанием муниципальной услуги</t>
  </si>
  <si>
    <t>приложение 2</t>
  </si>
  <si>
    <t>прочие</t>
  </si>
  <si>
    <t>учителя</t>
  </si>
  <si>
    <t>всего</t>
  </si>
  <si>
    <t xml:space="preserve">Расходы  </t>
  </si>
  <si>
    <t xml:space="preserve">кол-во </t>
  </si>
  <si>
    <t xml:space="preserve">Норматив  </t>
  </si>
  <si>
    <t>КОСГУ</t>
  </si>
  <si>
    <t>Норматив   на   приобретение   материальных   запасов, потребляемых в процессе оказания муниципальной услуги ( за счет бюджета Пензенской области) .</t>
  </si>
  <si>
    <t>кол-во месяцев</t>
  </si>
  <si>
    <t>кол-во ставок учителей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</si>
  <si>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Пензенской области) .</t>
  </si>
  <si>
    <t>доведение на оклады</t>
  </si>
  <si>
    <t>стимуляция</t>
  </si>
  <si>
    <t>без стимуляции</t>
  </si>
  <si>
    <t>ставки</t>
  </si>
  <si>
    <t>ФЗП в мес</t>
  </si>
  <si>
    <t>субвенция</t>
  </si>
  <si>
    <t>Средняя ставка на класс</t>
  </si>
  <si>
    <t>кол-во классных руководителей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</si>
  <si>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федерального бюджета) . </t>
  </si>
  <si>
    <t xml:space="preserve">количество </t>
  </si>
  <si>
    <t xml:space="preserve">Норматив   </t>
  </si>
  <si>
    <t>Норматив   на   приобретение   материальных   запасов, потребляемых в процессе оказания муниципальной услуги ( за счет бюджета города Пензы) .</t>
  </si>
  <si>
    <t>местный</t>
  </si>
  <si>
    <t>таблица для расчета заработной платы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</si>
  <si>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города Пензы) .</t>
  </si>
  <si>
    <t>Расчет норматива затрат, непосредственно связанных с оказанием муниципальной услуги</t>
  </si>
  <si>
    <t>приложение 1</t>
  </si>
  <si>
    <t>Знаки ГТО</t>
  </si>
  <si>
    <t>запасные части</t>
  </si>
  <si>
    <t xml:space="preserve">приобритение материальных запасов </t>
  </si>
  <si>
    <t>аттестация рабочих мест</t>
  </si>
  <si>
    <t>экспертиза</t>
  </si>
  <si>
    <t>обслуживние 1С</t>
  </si>
  <si>
    <t>ЭЦП</t>
  </si>
  <si>
    <t>изготовление бланков</t>
  </si>
  <si>
    <t>обслуживание тревожной кнопки</t>
  </si>
  <si>
    <t>утилизация отходов</t>
  </si>
  <si>
    <t>вторичный мужчины</t>
  </si>
  <si>
    <t>вторичный женщины</t>
  </si>
  <si>
    <t>маммография</t>
  </si>
  <si>
    <t>медосмотр первич.женщины</t>
  </si>
  <si>
    <t xml:space="preserve">нормативные затраты </t>
  </si>
  <si>
    <t>количество ед. услуг</t>
  </si>
  <si>
    <t>стоимость</t>
  </si>
  <si>
    <t>Прочие нормативные затраты на общехозяйственные нужды</t>
  </si>
  <si>
    <t xml:space="preserve">приобретение транспортных услуг </t>
  </si>
  <si>
    <t>интернет</t>
  </si>
  <si>
    <t>поминутная оплата</t>
  </si>
  <si>
    <t>приобретение услуг связи (абонентская плата)</t>
  </si>
  <si>
    <t xml:space="preserve">Нормативные затраты на приобретение услуг связи и приобретение транспортных услуг </t>
  </si>
  <si>
    <t>т/обслуживание теплосчетчиков</t>
  </si>
  <si>
    <t>поверка манометров</t>
  </si>
  <si>
    <t>противопожарные мероприятия</t>
  </si>
  <si>
    <t>Тех.обслуживание средств радиомодема прямой связи</t>
  </si>
  <si>
    <t>Утилизация ртутосодержащих отходов</t>
  </si>
  <si>
    <t>промывка, опрессовка</t>
  </si>
  <si>
    <t>замер сопротивления</t>
  </si>
  <si>
    <t>заправка картриджей</t>
  </si>
  <si>
    <t>Тревожная кнопка</t>
  </si>
  <si>
    <t>поверка ремонт теплосчетчиков</t>
  </si>
  <si>
    <t>очитка кровель</t>
  </si>
  <si>
    <t>тех.обслуживание пожарной сигнализации школа</t>
  </si>
  <si>
    <t>дератизация</t>
  </si>
  <si>
    <t>тех.обслуживание ТС</t>
  </si>
  <si>
    <t>вывоз мусора</t>
  </si>
  <si>
    <t xml:space="preserve">Нормативные затраты на содержание недвижимого имущества </t>
  </si>
  <si>
    <t>приложение 3</t>
  </si>
  <si>
    <t xml:space="preserve"> Прочие нормативные затраты на содержание  движимого имущества</t>
  </si>
  <si>
    <t>Автострахование</t>
  </si>
  <si>
    <t>нормативные затраты на коммунальные услуги</t>
  </si>
  <si>
    <t>объем потребления</t>
  </si>
  <si>
    <t>тариф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</si>
  <si>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</si>
  <si>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Лакокрасочные материалы</t>
  </si>
  <si>
    <t>Зап.части</t>
  </si>
  <si>
    <t>ГСМ</t>
  </si>
  <si>
    <t>Нормативные затраты на материальные запасы</t>
  </si>
  <si>
    <t>итого затрат</t>
  </si>
  <si>
    <t>тех.обслуживание пожарной сигнализации</t>
  </si>
  <si>
    <t>Текущий ремонт</t>
  </si>
  <si>
    <t>Тех.обслуживание</t>
  </si>
  <si>
    <t xml:space="preserve">Нормативные затраты на содержание движимого имущества </t>
  </si>
  <si>
    <t>приложение 4</t>
  </si>
  <si>
    <t>м3</t>
  </si>
  <si>
    <t>вывоз жидких бытовых отходов и объемов жидких бытовых отходов</t>
  </si>
  <si>
    <t>кВат</t>
  </si>
  <si>
    <t>электрическая энергия</t>
  </si>
  <si>
    <t>гКал</t>
  </si>
  <si>
    <t>тепловая  энергия</t>
  </si>
  <si>
    <t>горячее водоснабжение</t>
  </si>
  <si>
    <t>водоотведение</t>
  </si>
  <si>
    <t>холодное водоснабжение</t>
  </si>
  <si>
    <t>нормативные затраты на коммунальные услуги с учетом увеличения</t>
  </si>
  <si>
    <t>тариф (руб.)</t>
  </si>
  <si>
    <t>ед.измерения</t>
  </si>
  <si>
    <t>Нормативные затраты на коммунальные услуги</t>
  </si>
  <si>
    <t>гос.пошлина</t>
  </si>
  <si>
    <t>транспортный налог</t>
  </si>
  <si>
    <t>Налог на землю</t>
  </si>
  <si>
    <t>Налог на имущество</t>
  </si>
  <si>
    <t>Нормативные затраты на уплату налогов</t>
  </si>
  <si>
    <t>ставка налога</t>
  </si>
  <si>
    <t>налогооблагаемая база</t>
  </si>
  <si>
    <t>приложение 6</t>
  </si>
  <si>
    <t>Всего по учреждению</t>
  </si>
  <si>
    <t xml:space="preserve">Всего </t>
  </si>
  <si>
    <t>руб.</t>
  </si>
  <si>
    <t>- налог на землю</t>
  </si>
  <si>
    <t>- налог на имущество</t>
  </si>
  <si>
    <t>3 Нормативные затраты на содержание имущества  (приложение 6)</t>
  </si>
  <si>
    <t>Всего затраты на общехозяйственные нужды</t>
  </si>
  <si>
    <t>2.9. Приобретение коммунальных услуг (приложение 5)</t>
  </si>
  <si>
    <t>2.8 Прочие нормативные затраты на содержание  движимого имущества (приложение 4)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</si>
  <si>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</si>
  <si>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2.6 Нормативные затраты на материальные запасы (приложение4)</t>
  </si>
  <si>
    <t>2.5 Нормативные затраты на техническое обслуживание и текущий ремонт объектов движимого имущества (приложение 4)</t>
  </si>
  <si>
    <t xml:space="preserve">3. Затраты на содержание движимого имущества </t>
  </si>
  <si>
    <t>Утилизация</t>
  </si>
  <si>
    <t>мед.осмотр сотрудников</t>
  </si>
  <si>
    <t>2.4.Прочие нормативные затраты на общехозяйственные нужды (приложение3)</t>
  </si>
  <si>
    <t>транспортные услуги</t>
  </si>
  <si>
    <t>Работы текущего ремонта здания и помещений</t>
  </si>
  <si>
    <t>Услуги по приобретению материалов для текущего ремонта</t>
  </si>
  <si>
    <t>Услуги обучения пожарно-техническому минимуму</t>
  </si>
  <si>
    <t>Услуги обучения по эксплуатации тепловых систем</t>
  </si>
  <si>
    <t>Услуги обучения электротехническому минимуму</t>
  </si>
  <si>
    <t>Работы по проверке приборов учета</t>
  </si>
  <si>
    <t>Услуги по обследованию дымоходов</t>
  </si>
  <si>
    <t>Услуги по страхованию здания</t>
  </si>
  <si>
    <t>Работы по промывке теплового ввода</t>
  </si>
  <si>
    <t>Работы по испытанию теплового ввода</t>
  </si>
  <si>
    <t>Услуги по подготовке УУТЭ к осенне-зимнему сезону</t>
  </si>
  <si>
    <t>4. Услуги и работы текущего ремонта, обеспечение готовности объекта к новому учебному году</t>
  </si>
  <si>
    <t>Услуга по восполнению хозяйственных товаров</t>
  </si>
  <si>
    <t>Услуги по текущему содержанию и техническому обслуживанию торгового оборудования столовой</t>
  </si>
  <si>
    <t>Услуги по устранению аварийных ситуаций домового оборудования</t>
  </si>
  <si>
    <t>Работы по дезинфекции</t>
  </si>
  <si>
    <t>Услуги по текущему содержанию и техническому обслуживанию УУТЭ</t>
  </si>
  <si>
    <t>Услуги по вызову ТОП</t>
  </si>
  <si>
    <t>3. Услуги и работы по нормативному содержанию имущества и помещений муниципальной собственности</t>
  </si>
  <si>
    <t>Услуги обеспечения норм освещенности периметра здания и территории в вечернее время</t>
  </si>
  <si>
    <t>Услуга по замеру сопротивления электроцепей, изоляции</t>
  </si>
  <si>
    <t>Услуга по противопожарной пропитке чердачных деревянных конструкций</t>
  </si>
  <si>
    <t>Услуга по содержанию и техническому обслуживанию КТС</t>
  </si>
  <si>
    <t>Услуга по содержанию и техническому обслуживанию системы аварийного освещения</t>
  </si>
  <si>
    <t xml:space="preserve">приобретение услуг связи </t>
  </si>
  <si>
    <t>2.3. Затраты на приобретение услуг связи (приложение3)</t>
  </si>
  <si>
    <t>очистка кровель</t>
  </si>
  <si>
    <t>обслуживание теплосчетчиков</t>
  </si>
  <si>
    <t>Услуги тревожная кнопка</t>
  </si>
  <si>
    <t>Услуги тех.обслуживанию пожарной сигнализации</t>
  </si>
  <si>
    <t>Услуги по дератизации</t>
  </si>
  <si>
    <t>Услуги по тех.обслуживание ТС</t>
  </si>
  <si>
    <t>Услуги по вывозу мусора</t>
  </si>
  <si>
    <t>2.2 Затраты на содержание недвижимого имущества (приложение3)</t>
  </si>
  <si>
    <t>затраты на компенсационные выплаты по уходу за ребенком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</si>
  <si>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</si>
  <si>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затраты на оплату труда  персонала, не принимающего непосредственное участие в оказании муниципальной услуги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</si>
  <si>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</si>
  <si>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</si>
  <si>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</si>
  <si>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2. Затраты, на общехозяйственные нужды.</t>
  </si>
  <si>
    <t>Нормативные   затраты   на   приобретение   материальных   запасов, потребляемых в процессе оказания муниципальной услуги</t>
  </si>
  <si>
    <t>повышение квалификации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</si>
  <si>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</si>
  <si>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затраты на оплату труда  персонала, принимающего непосредственное участие в оказании муниципальной услуги</t>
  </si>
  <si>
    <t xml:space="preserve">1.3 В том числе затраты, непосредственно связанные с оказанием муниципальной услуги ( за счет бюджета Пензенской области) . </t>
  </si>
  <si>
    <t xml:space="preserve">1.2 В том числе затраты, непосредственно связанные с оказанием муниципальной услуги ( за счет федерального бюджета) . </t>
  </si>
  <si>
    <t xml:space="preserve">1.1 В том числе затраты, непосредственно связанные с оказанием муниципальной услуги ( за счет бюджета города Пензы) . </t>
  </si>
  <si>
    <t>1. Затраты, непосредственно связанные с оказанием муниципальной услуги. (приложение1)</t>
  </si>
  <si>
    <t>Общий объем приобретаемых муниципальных услуг (выполняемых работ) (руб)</t>
  </si>
  <si>
    <t>Норматив финансовых затрат на единицу приобретаемой муниципальной услуги (выполняемой работы) (руб.)</t>
  </si>
  <si>
    <t>Единица измерения</t>
  </si>
  <si>
    <t xml:space="preserve">Наименование приобретаемых муниципальных услуг </t>
  </si>
  <si>
    <t>Объем муниципальных услуг в натуральных показателях</t>
  </si>
  <si>
    <t>Объем приобретаемых муниципальных услуг (выполняемых работ) в стоимостных показателях</t>
  </si>
  <si>
    <t>Определение нормативных затрат на оказание муниципальной услуги</t>
  </si>
  <si>
    <t>001</t>
  </si>
  <si>
    <t>отклонение</t>
  </si>
  <si>
    <t>смета</t>
  </si>
  <si>
    <t>ВР</t>
  </si>
  <si>
    <t>Проверка</t>
  </si>
  <si>
    <t>СРЕДНЕЕ</t>
  </si>
  <si>
    <t>НАЧАЛЬНОЕ</t>
  </si>
  <si>
    <t>СТАРШЕЕ</t>
  </si>
  <si>
    <t>КОРРЕКЦИЯ</t>
  </si>
  <si>
    <t>НОРМАТИВ</t>
  </si>
  <si>
    <t>НАЧАЛ</t>
  </si>
  <si>
    <t>Директор МБОУ "СОШ №      г.Пензы"____________</t>
  </si>
  <si>
    <t>Гл.бухгалтер _____________</t>
  </si>
  <si>
    <t>ОСН</t>
  </si>
  <si>
    <t>ДОВЕД</t>
  </si>
  <si>
    <t>ОДАР</t>
  </si>
  <si>
    <t>КОЛ-ВО ОДАР</t>
  </si>
  <si>
    <t>пов. квалиф.</t>
  </si>
  <si>
    <t>для коррекции</t>
  </si>
  <si>
    <t>коректировка</t>
  </si>
  <si>
    <t>Нормативные   затраты   на   приобретение   материальных   запасов и услуг, потребляемых в процессе оказания муниципальной услуги</t>
  </si>
  <si>
    <t>курсы повышения кволификации пед.работников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</si>
  <si>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</si>
  <si>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</si>
  <si>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</si>
  <si>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 xml:space="preserve">Реализация адаптированных основных общеобразовательных программ </t>
  </si>
  <si>
    <t>Реализация адаптированных основных общеобразовательных программ начального общего образования</t>
  </si>
  <si>
    <t>огнезащитная обработка</t>
  </si>
  <si>
    <t>ТО видеонаблюдения</t>
  </si>
  <si>
    <t>ретген</t>
  </si>
  <si>
    <t>электронная отчетность</t>
  </si>
  <si>
    <t xml:space="preserve"> Наименование муниципальной услуги</t>
  </si>
  <si>
    <t>5.2. Порядок информирования потенциальных потребителей муниципальной услуги:</t>
  </si>
  <si>
    <t>не менее 99%</t>
  </si>
  <si>
    <t xml:space="preserve">постановления администрации города Пензы от 19.05.2009  N 682/1 "Об утверждении Основных требований к качеству предоставления муниципальной услуги "Организация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программам" на территории города Пензы" </t>
  </si>
  <si>
    <t>Приказ</t>
  </si>
  <si>
    <t>Управление образования города Пензы</t>
  </si>
  <si>
    <t xml:space="preserve">Об утверждении порядка формирования муниципального задания на оказание муниципальных услуг (выполнение работ) и финансового обеспечения выполнения муниципального задания на 2016 год в муниципальных учреждениях города Пензы, в отношении которых функции и полномочия учредителя выполняет Управление образования города Пензы
</t>
  </si>
  <si>
    <t xml:space="preserve">постановление администрации города Пензы от 19.05.2009  N 682/1 "Об утверждении Основных требований к качеству предоставления муниципальной услуги "Организация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программам" на территории города Пензы" </t>
  </si>
  <si>
    <r>
      <rPr>
        <u val="single"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>Ю.А.Голодяев</t>
    </r>
  </si>
  <si>
    <r>
      <t xml:space="preserve">Раздел </t>
    </r>
    <r>
      <rPr>
        <u val="single"/>
        <sz val="11"/>
        <rFont val="Times New Roman"/>
        <family val="1"/>
      </rPr>
      <t xml:space="preserve">      1     .</t>
    </r>
  </si>
  <si>
    <r>
      <t xml:space="preserve">Раздел </t>
    </r>
    <r>
      <rPr>
        <u val="single"/>
        <sz val="11"/>
        <rFont val="Times New Roman"/>
        <family val="1"/>
      </rPr>
      <t xml:space="preserve">      2     .</t>
    </r>
  </si>
  <si>
    <r>
      <t xml:space="preserve">Раздел </t>
    </r>
    <r>
      <rPr>
        <u val="single"/>
        <sz val="11"/>
        <rFont val="Times New Roman"/>
        <family val="1"/>
      </rPr>
      <t xml:space="preserve">      3     .</t>
    </r>
  </si>
  <si>
    <r>
      <t xml:space="preserve">Раздел </t>
    </r>
    <r>
      <rPr>
        <u val="single"/>
        <sz val="11"/>
        <rFont val="Times New Roman"/>
        <family val="1"/>
      </rPr>
      <t xml:space="preserve">      4     .</t>
    </r>
  </si>
  <si>
    <r>
      <t xml:space="preserve">Раздел </t>
    </r>
    <r>
      <rPr>
        <u val="single"/>
        <sz val="11"/>
        <rFont val="Times New Roman"/>
        <family val="1"/>
      </rPr>
      <t xml:space="preserve">   1    .</t>
    </r>
  </si>
  <si>
    <t>на официальном сайте учреждения</t>
  </si>
  <si>
    <t>3. Порядок контроля за выполнением муниципального задания</t>
  </si>
  <si>
    <t>Наименование муниципального учреждения:</t>
  </si>
  <si>
    <t>поверка и ремонт  теплосчетчиков,счетчиков электрической энергии</t>
  </si>
  <si>
    <t>Гл.бухгалтер _________________</t>
  </si>
  <si>
    <t>уборка контейнерных площадок</t>
  </si>
  <si>
    <t>Уборка контейнерных площадок</t>
  </si>
  <si>
    <t>ОТЧЕТ</t>
  </si>
  <si>
    <t xml:space="preserve">об использовании субсидии </t>
  </si>
  <si>
    <t>№ п/п</t>
  </si>
  <si>
    <t>Наименование расходов</t>
  </si>
  <si>
    <t>Бюджетные назначения на 2016 год</t>
  </si>
  <si>
    <t>Поступило</t>
  </si>
  <si>
    <t>Израсходовано</t>
  </si>
  <si>
    <t>Остаток на отчетную дату</t>
  </si>
  <si>
    <t>Причина  образования остатка</t>
  </si>
  <si>
    <t>с начала года (нарастающим итогом)</t>
  </si>
  <si>
    <t>в том числе за отчетный период</t>
  </si>
  <si>
    <t>Реализация основных общеобразовательных программ всего, в том числе: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</si>
  <si>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</si>
  <si>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(телефон)</t>
  </si>
  <si>
    <t xml:space="preserve">гос пошлина </t>
  </si>
  <si>
    <t xml:space="preserve"> затраты на коммунальные услуги с учетом увеличения</t>
  </si>
  <si>
    <t>K нормативных затрат на коммунальные услуги</t>
  </si>
  <si>
    <t>K ормативных затрат на содержание имущества</t>
  </si>
  <si>
    <t>за 2 квартал  2016 года</t>
  </si>
  <si>
    <t xml:space="preserve">Руководитель_____________________ </t>
  </si>
  <si>
    <t xml:space="preserve">Гл.бухгалтер_______________________ </t>
  </si>
  <si>
    <t>Директор МБОУ "Кадетская школа № 46 г. Пензы"</t>
  </si>
  <si>
    <t>Нелюбова Н.Е.</t>
  </si>
  <si>
    <t>Борисов В.А.</t>
  </si>
  <si>
    <t>МУНИЦИПАЛЬНОЕ ЗАДАНИЕ № 2D348</t>
  </si>
  <si>
    <t>МБОУ "Кадетская школа № 46 г. Пензы"</t>
  </si>
  <si>
    <t>проверка вентканалов</t>
  </si>
  <si>
    <t>первичный мужчины</t>
  </si>
  <si>
    <t>в соответствии с постановлением Администрации города Пензы № 2147 от 14.12.2015г "О порядке формирования муниципального задания на лказание муниципальных услунг (выполнение работ) в отношении муниципальных учреждений и финансового обеспечения выполнения муниципального задания"</t>
  </si>
  <si>
    <t>Директор МБОУ "Кадетская школа № 46 г. Пензы"___________</t>
  </si>
  <si>
    <t>22   июня  2016г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</si>
</sst>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</numFmts>
  <fonts count="52"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9"/>
      <name val="Times New Roman"/>
      <family val="1"/>
    </font>
    <font>
      <sz val="9"/>
      <name val="Arial Cyr"/>
      <family val="0"/>
    </font>
    <font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 Cyr"/>
      <family val="0"/>
    </font>
    <font>
      <u val="single"/>
      <sz val="14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6"/>
      <name val="Times New Roman"/>
      <family val="1"/>
    </font>
    <font>
      <u val="single"/>
      <sz val="11"/>
      <name val="Times New Roman"/>
      <family val="1"/>
    </font>
    <font>
      <sz val="5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Fill="1">
      <alignment/>
      <protection/>
    </xf>
    <xf numFmtId="0" fontId="1" fillId="0" borderId="0" xfId="52" applyFont="1" applyProtection="1">
      <alignment/>
      <protection locked="0"/>
    </xf>
    <xf numFmtId="0" fontId="1" fillId="0" borderId="0" xfId="52" applyFont="1" applyAlignment="1">
      <alignment/>
      <protection/>
    </xf>
    <xf numFmtId="0" fontId="1" fillId="0" borderId="0" xfId="52" applyFont="1" applyAlignment="1" applyProtection="1">
      <alignment/>
      <protection locked="0"/>
    </xf>
    <xf numFmtId="4" fontId="1" fillId="0" borderId="11" xfId="52" applyNumberFormat="1" applyFont="1" applyBorder="1" applyAlignment="1">
      <alignment wrapText="1"/>
      <protection/>
    </xf>
    <xf numFmtId="4" fontId="1" fillId="0" borderId="12" xfId="52" applyNumberFormat="1" applyFont="1" applyBorder="1" applyAlignment="1">
      <alignment wrapText="1"/>
      <protection/>
    </xf>
    <xf numFmtId="0" fontId="1" fillId="0" borderId="12" xfId="52" applyFont="1" applyBorder="1" applyAlignment="1">
      <alignment wrapText="1"/>
      <protection/>
    </xf>
    <xf numFmtId="0" fontId="1" fillId="0" borderId="13" xfId="52" applyFont="1" applyBorder="1" applyAlignment="1">
      <alignment wrapText="1"/>
      <protection/>
    </xf>
    <xf numFmtId="0" fontId="1" fillId="0" borderId="14" xfId="52" applyFont="1" applyBorder="1" applyAlignment="1">
      <alignment wrapText="1"/>
      <protection/>
    </xf>
    <xf numFmtId="0" fontId="1" fillId="0" borderId="10" xfId="52" applyFont="1" applyBorder="1" applyAlignment="1">
      <alignment wrapText="1"/>
      <protection/>
    </xf>
    <xf numFmtId="0" fontId="1" fillId="0" borderId="15" xfId="52" applyFont="1" applyBorder="1" applyAlignment="1">
      <alignment wrapText="1"/>
      <protection/>
    </xf>
    <xf numFmtId="4" fontId="1" fillId="0" borderId="14" xfId="52" applyNumberFormat="1" applyFont="1" applyBorder="1" applyAlignment="1">
      <alignment wrapText="1"/>
      <protection/>
    </xf>
    <xf numFmtId="4" fontId="1" fillId="0" borderId="10" xfId="52" applyNumberFormat="1" applyFont="1" applyBorder="1" applyAlignment="1">
      <alignment wrapText="1"/>
      <protection/>
    </xf>
    <xf numFmtId="0" fontId="1" fillId="0" borderId="16" xfId="52" applyFont="1" applyBorder="1" applyAlignment="1">
      <alignment wrapText="1"/>
      <protection/>
    </xf>
    <xf numFmtId="0" fontId="1" fillId="0" borderId="17" xfId="52" applyFont="1" applyBorder="1" applyAlignment="1">
      <alignment wrapText="1"/>
      <protection/>
    </xf>
    <xf numFmtId="0" fontId="1" fillId="0" borderId="18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10" fillId="0" borderId="0" xfId="52" applyFont="1" applyBorder="1" applyAlignment="1">
      <alignment horizont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12" xfId="52" applyNumberFormat="1" applyFont="1" applyBorder="1" applyAlignment="1">
      <alignment wrapText="1"/>
      <protection/>
    </xf>
    <xf numFmtId="0" fontId="1" fillId="0" borderId="13" xfId="52" applyFont="1" applyBorder="1">
      <alignment/>
      <protection/>
    </xf>
    <xf numFmtId="2" fontId="1" fillId="0" borderId="10" xfId="52" applyNumberFormat="1" applyFont="1" applyBorder="1" applyAlignment="1">
      <alignment wrapText="1"/>
      <protection/>
    </xf>
    <xf numFmtId="0" fontId="1" fillId="0" borderId="15" xfId="52" applyFont="1" applyBorder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0" xfId="52" applyNumberFormat="1" applyFont="1" applyAlignment="1">
      <alignment wrapText="1"/>
      <protection/>
    </xf>
    <xf numFmtId="0" fontId="1" fillId="0" borderId="19" xfId="52" applyFont="1" applyBorder="1">
      <alignment/>
      <protection/>
    </xf>
    <xf numFmtId="0" fontId="1" fillId="2" borderId="10" xfId="0" applyFont="1" applyFill="1" applyBorder="1" applyAlignment="1">
      <alignment/>
    </xf>
    <xf numFmtId="0" fontId="1" fillId="0" borderId="20" xfId="52" applyFont="1" applyBorder="1" applyAlignment="1">
      <alignment wrapText="1"/>
      <protection/>
    </xf>
    <xf numFmtId="0" fontId="4" fillId="0" borderId="17" xfId="52" applyFont="1" applyBorder="1" applyAlignment="1">
      <alignment wrapText="1"/>
      <protection/>
    </xf>
    <xf numFmtId="0" fontId="1" fillId="0" borderId="18" xfId="52" applyFont="1" applyBorder="1">
      <alignment/>
      <protection/>
    </xf>
    <xf numFmtId="2" fontId="1" fillId="0" borderId="0" xfId="52" applyNumberFormat="1" applyFont="1">
      <alignment/>
      <protection/>
    </xf>
    <xf numFmtId="168" fontId="1" fillId="0" borderId="10" xfId="0" applyNumberFormat="1" applyFont="1" applyBorder="1" applyAlignment="1">
      <alignment/>
    </xf>
    <xf numFmtId="168" fontId="1" fillId="0" borderId="10" xfId="52" applyNumberFormat="1" applyFont="1" applyBorder="1" applyAlignment="1">
      <alignment wrapText="1"/>
      <protection/>
    </xf>
    <xf numFmtId="4" fontId="1" fillId="0" borderId="10" xfId="0" applyNumberFormat="1" applyFont="1" applyBorder="1" applyAlignment="1">
      <alignment wrapText="1"/>
    </xf>
    <xf numFmtId="2" fontId="1" fillId="2" borderId="10" xfId="0" applyNumberFormat="1" applyFont="1" applyFill="1" applyBorder="1" applyAlignment="1">
      <alignment/>
    </xf>
    <xf numFmtId="4" fontId="1" fillId="0" borderId="0" xfId="52" applyNumberFormat="1" applyFont="1" applyBorder="1" applyAlignment="1">
      <alignment wrapText="1"/>
      <protection/>
    </xf>
    <xf numFmtId="0" fontId="1" fillId="0" borderId="0" xfId="52" applyFont="1" applyBorder="1" applyAlignment="1">
      <alignment wrapText="1"/>
      <protection/>
    </xf>
    <xf numFmtId="3" fontId="1" fillId="0" borderId="10" xfId="0" applyNumberFormat="1" applyFont="1" applyBorder="1" applyAlignment="1">
      <alignment wrapText="1"/>
    </xf>
    <xf numFmtId="0" fontId="4" fillId="0" borderId="18" xfId="52" applyFont="1" applyBorder="1" applyAlignment="1">
      <alignment wrapText="1"/>
      <protection/>
    </xf>
    <xf numFmtId="0" fontId="12" fillId="0" borderId="10" xfId="52" applyFont="1" applyBorder="1" applyAlignment="1">
      <alignment wrapText="1"/>
      <protection/>
    </xf>
    <xf numFmtId="0" fontId="13" fillId="0" borderId="0" xfId="52" applyFont="1">
      <alignment/>
      <protection/>
    </xf>
    <xf numFmtId="0" fontId="13" fillId="0" borderId="0" xfId="52" applyFont="1" applyAlignment="1">
      <alignment wrapText="1"/>
      <protection/>
    </xf>
    <xf numFmtId="0" fontId="2" fillId="0" borderId="0" xfId="52" applyFont="1" applyFill="1">
      <alignment/>
      <protection/>
    </xf>
    <xf numFmtId="0" fontId="2" fillId="0" borderId="0" xfId="52" applyFont="1">
      <alignment/>
      <protection/>
    </xf>
    <xf numFmtId="0" fontId="2" fillId="0" borderId="0" xfId="52" applyFont="1" applyProtection="1">
      <alignment/>
      <protection locked="0"/>
    </xf>
    <xf numFmtId="0" fontId="2" fillId="0" borderId="0" xfId="52" applyFont="1" applyAlignment="1">
      <alignment/>
      <protection/>
    </xf>
    <xf numFmtId="0" fontId="2" fillId="0" borderId="0" xfId="52" applyFont="1" applyAlignment="1" applyProtection="1">
      <alignment/>
      <protection locked="0"/>
    </xf>
    <xf numFmtId="0" fontId="2" fillId="0" borderId="11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4" xfId="52" applyFont="1" applyBorder="1">
      <alignment/>
      <protection/>
    </xf>
    <xf numFmtId="0" fontId="2" fillId="0" borderId="10" xfId="52" applyFont="1" applyBorder="1">
      <alignment/>
      <protection/>
    </xf>
    <xf numFmtId="0" fontId="2" fillId="0" borderId="15" xfId="52" applyFont="1" applyBorder="1">
      <alignment/>
      <protection/>
    </xf>
    <xf numFmtId="0" fontId="2" fillId="0" borderId="15" xfId="52" applyFont="1" applyBorder="1" applyAlignment="1">
      <alignment wrapText="1"/>
      <protection/>
    </xf>
    <xf numFmtId="0" fontId="2" fillId="0" borderId="21" xfId="52" applyFont="1" applyBorder="1">
      <alignment/>
      <protection/>
    </xf>
    <xf numFmtId="0" fontId="2" fillId="0" borderId="22" xfId="52" applyFont="1" applyBorder="1">
      <alignment/>
      <protection/>
    </xf>
    <xf numFmtId="0" fontId="2" fillId="0" borderId="23" xfId="52" applyFont="1" applyBorder="1" applyAlignment="1">
      <alignment wrapText="1"/>
      <protection/>
    </xf>
    <xf numFmtId="0" fontId="5" fillId="0" borderId="23" xfId="52" applyFont="1" applyBorder="1" applyAlignment="1">
      <alignment wrapText="1"/>
      <protection/>
    </xf>
    <xf numFmtId="0" fontId="2" fillId="0" borderId="16" xfId="52" applyFont="1" applyBorder="1" applyAlignment="1">
      <alignment wrapText="1"/>
      <protection/>
    </xf>
    <xf numFmtId="0" fontId="2" fillId="0" borderId="17" xfId="52" applyFont="1" applyBorder="1" applyAlignment="1">
      <alignment wrapText="1"/>
      <protection/>
    </xf>
    <xf numFmtId="0" fontId="2" fillId="0" borderId="18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2" fontId="2" fillId="0" borderId="14" xfId="52" applyNumberFormat="1" applyFont="1" applyBorder="1">
      <alignment/>
      <protection/>
    </xf>
    <xf numFmtId="0" fontId="2" fillId="0" borderId="20" xfId="52" applyFont="1" applyBorder="1" applyAlignment="1">
      <alignment wrapText="1"/>
      <protection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 wrapText="1"/>
      <protection/>
    </xf>
    <xf numFmtId="0" fontId="4" fillId="0" borderId="19" xfId="52" applyFont="1" applyBorder="1" applyAlignment="1">
      <alignment wrapText="1"/>
      <protection/>
    </xf>
    <xf numFmtId="0" fontId="2" fillId="0" borderId="0" xfId="52" applyFont="1" applyBorder="1" applyAlignment="1">
      <alignment horizontal="center"/>
      <protection/>
    </xf>
    <xf numFmtId="0" fontId="1" fillId="0" borderId="0" xfId="52" applyFont="1" applyBorder="1">
      <alignment/>
      <protection/>
    </xf>
    <xf numFmtId="0" fontId="8" fillId="0" borderId="0" xfId="52">
      <alignment/>
      <protection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0" fontId="8" fillId="0" borderId="0" xfId="52" applyProtection="1">
      <alignment/>
      <protection locked="0"/>
    </xf>
    <xf numFmtId="0" fontId="8" fillId="0" borderId="0" xfId="52" applyFont="1" applyProtection="1">
      <alignment/>
      <protection locked="0"/>
    </xf>
    <xf numFmtId="0" fontId="8" fillId="0" borderId="0" xfId="52" applyAlignment="1">
      <alignment/>
      <protection/>
    </xf>
    <xf numFmtId="0" fontId="8" fillId="0" borderId="0" xfId="52" applyAlignment="1" applyProtection="1">
      <alignment/>
      <protection locked="0"/>
    </xf>
    <xf numFmtId="0" fontId="8" fillId="0" borderId="0" xfId="52" applyFont="1" applyAlignment="1">
      <alignment/>
      <protection/>
    </xf>
    <xf numFmtId="0" fontId="8" fillId="0" borderId="11" xfId="52" applyBorder="1">
      <alignment/>
      <protection/>
    </xf>
    <xf numFmtId="0" fontId="8" fillId="0" borderId="12" xfId="52" applyBorder="1">
      <alignment/>
      <protection/>
    </xf>
    <xf numFmtId="0" fontId="8" fillId="0" borderId="14" xfId="52" applyBorder="1">
      <alignment/>
      <protection/>
    </xf>
    <xf numFmtId="0" fontId="8" fillId="0" borderId="10" xfId="52" applyBorder="1">
      <alignment/>
      <protection/>
    </xf>
    <xf numFmtId="0" fontId="8" fillId="0" borderId="16" xfId="52" applyBorder="1" applyAlignment="1">
      <alignment wrapText="1"/>
      <protection/>
    </xf>
    <xf numFmtId="0" fontId="8" fillId="0" borderId="17" xfId="52" applyBorder="1" applyAlignment="1">
      <alignment wrapText="1"/>
      <protection/>
    </xf>
    <xf numFmtId="0" fontId="8" fillId="0" borderId="18" xfId="52" applyBorder="1" applyAlignment="1">
      <alignment wrapText="1"/>
      <protection/>
    </xf>
    <xf numFmtId="0" fontId="13" fillId="0" borderId="0" xfId="52" applyFont="1" applyAlignment="1">
      <alignment horizontal="center"/>
      <protection/>
    </xf>
    <xf numFmtId="0" fontId="1" fillId="24" borderId="15" xfId="52" applyFont="1" applyFill="1" applyBorder="1" applyAlignment="1">
      <alignment vertical="top" wrapText="1"/>
      <protection/>
    </xf>
    <xf numFmtId="0" fontId="17" fillId="0" borderId="18" xfId="52" applyFont="1" applyBorder="1" applyAlignment="1">
      <alignment wrapText="1"/>
      <protection/>
    </xf>
    <xf numFmtId="0" fontId="17" fillId="0" borderId="0" xfId="52" applyFont="1" applyAlignment="1">
      <alignment wrapText="1"/>
      <protection/>
    </xf>
    <xf numFmtId="0" fontId="8" fillId="0" borderId="0" xfId="52" applyAlignment="1">
      <alignment wrapText="1"/>
      <protection/>
    </xf>
    <xf numFmtId="0" fontId="8" fillId="0" borderId="13" xfId="52" applyBorder="1" applyAlignment="1">
      <alignment wrapText="1"/>
      <protection/>
    </xf>
    <xf numFmtId="0" fontId="8" fillId="0" borderId="15" xfId="52" applyBorder="1" applyAlignment="1">
      <alignment wrapText="1"/>
      <protection/>
    </xf>
    <xf numFmtId="0" fontId="8" fillId="0" borderId="0" xfId="52" applyBorder="1" applyAlignment="1">
      <alignment horizontal="center"/>
      <protection/>
    </xf>
    <xf numFmtId="0" fontId="8" fillId="0" borderId="0" xfId="52" applyBorder="1">
      <alignment/>
      <protection/>
    </xf>
    <xf numFmtId="0" fontId="8" fillId="0" borderId="0" xfId="52" applyAlignment="1">
      <alignment horizontal="center"/>
      <protection/>
    </xf>
    <xf numFmtId="4" fontId="8" fillId="0" borderId="0" xfId="52" applyNumberFormat="1">
      <alignment/>
      <protection/>
    </xf>
    <xf numFmtId="0" fontId="1" fillId="0" borderId="24" xfId="52" applyFont="1" applyBorder="1" applyAlignment="1">
      <alignment horizontal="center" wrapText="1"/>
      <protection/>
    </xf>
    <xf numFmtId="0" fontId="1" fillId="0" borderId="25" xfId="52" applyFont="1" applyBorder="1" applyAlignment="1">
      <alignment horizontal="center"/>
      <protection/>
    </xf>
    <xf numFmtId="0" fontId="1" fillId="0" borderId="25" xfId="52" applyFont="1" applyBorder="1" applyAlignment="1">
      <alignment horizontal="center" wrapText="1"/>
      <protection/>
    </xf>
    <xf numFmtId="0" fontId="8" fillId="0" borderId="11" xfId="52" applyBorder="1" applyProtection="1">
      <alignment/>
      <protection locked="0"/>
    </xf>
    <xf numFmtId="0" fontId="8" fillId="0" borderId="12" xfId="52" applyBorder="1" applyProtection="1">
      <alignment/>
      <protection locked="0"/>
    </xf>
    <xf numFmtId="0" fontId="8" fillId="0" borderId="13" xfId="52" applyBorder="1">
      <alignment/>
      <protection/>
    </xf>
    <xf numFmtId="0" fontId="8" fillId="0" borderId="21" xfId="52" applyBorder="1" applyProtection="1">
      <alignment/>
      <protection locked="0"/>
    </xf>
    <xf numFmtId="10" fontId="8" fillId="0" borderId="22" xfId="52" applyNumberFormat="1" applyBorder="1">
      <alignment/>
      <protection/>
    </xf>
    <xf numFmtId="0" fontId="8" fillId="0" borderId="22" xfId="52" applyBorder="1" applyProtection="1">
      <alignment/>
      <protection locked="0"/>
    </xf>
    <xf numFmtId="0" fontId="8" fillId="0" borderId="23" xfId="52" applyBorder="1">
      <alignment/>
      <protection/>
    </xf>
    <xf numFmtId="0" fontId="8" fillId="0" borderId="14" xfId="52" applyBorder="1" applyProtection="1">
      <alignment/>
      <protection locked="0"/>
    </xf>
    <xf numFmtId="10" fontId="8" fillId="0" borderId="10" xfId="52" applyNumberFormat="1" applyBorder="1">
      <alignment/>
      <protection/>
    </xf>
    <xf numFmtId="0" fontId="8" fillId="0" borderId="10" xfId="52" applyBorder="1" applyProtection="1">
      <alignment/>
      <protection locked="0"/>
    </xf>
    <xf numFmtId="0" fontId="8" fillId="0" borderId="15" xfId="52" applyBorder="1">
      <alignment/>
      <protection/>
    </xf>
    <xf numFmtId="0" fontId="8" fillId="0" borderId="0" xfId="52" applyFont="1" applyAlignment="1">
      <alignment wrapText="1"/>
      <protection/>
    </xf>
    <xf numFmtId="0" fontId="1" fillId="0" borderId="17" xfId="52" applyFont="1" applyBorder="1">
      <alignment/>
      <protection/>
    </xf>
    <xf numFmtId="0" fontId="8" fillId="0" borderId="18" xfId="52" applyFont="1" applyBorder="1" applyAlignment="1">
      <alignment wrapText="1"/>
      <protection/>
    </xf>
    <xf numFmtId="4" fontId="8" fillId="0" borderId="0" xfId="52" applyNumberFormat="1" applyFont="1">
      <alignment/>
      <protection/>
    </xf>
    <xf numFmtId="4" fontId="8" fillId="0" borderId="0" xfId="52" applyNumberFormat="1" applyFont="1" applyAlignment="1">
      <alignment horizontal="center"/>
      <protection/>
    </xf>
    <xf numFmtId="0" fontId="8" fillId="6" borderId="0" xfId="52" applyFont="1" applyFill="1">
      <alignment/>
      <protection/>
    </xf>
    <xf numFmtId="4" fontId="1" fillId="10" borderId="11" xfId="52" applyNumberFormat="1" applyFont="1" applyFill="1" applyBorder="1" applyAlignment="1">
      <alignment horizontal="center" vertical="top" wrapText="1"/>
      <protection/>
    </xf>
    <xf numFmtId="0" fontId="1" fillId="10" borderId="12" xfId="52" applyFont="1" applyFill="1" applyBorder="1" applyAlignment="1">
      <alignment horizontal="center" vertical="top" wrapText="1"/>
      <protection/>
    </xf>
    <xf numFmtId="2" fontId="4" fillId="10" borderId="12" xfId="52" applyNumberFormat="1" applyFont="1" applyFill="1" applyBorder="1" applyAlignment="1">
      <alignment horizontal="center" vertical="top" wrapText="1"/>
      <protection/>
    </xf>
    <xf numFmtId="10" fontId="1" fillId="10" borderId="12" xfId="52" applyNumberFormat="1" applyFont="1" applyFill="1" applyBorder="1" applyAlignment="1">
      <alignment horizontal="center" vertical="top" wrapText="1"/>
      <protection/>
    </xf>
    <xf numFmtId="0" fontId="1" fillId="10" borderId="13" xfId="52" applyFont="1" applyFill="1" applyBorder="1" applyAlignment="1">
      <alignment vertical="top" wrapText="1"/>
      <protection/>
    </xf>
    <xf numFmtId="4" fontId="1" fillId="0" borderId="14" xfId="52" applyNumberFormat="1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 vertical="top" wrapText="1"/>
      <protection/>
    </xf>
    <xf numFmtId="2" fontId="1" fillId="0" borderId="10" xfId="52" applyNumberFormat="1" applyFont="1" applyBorder="1" applyAlignment="1">
      <alignment horizontal="center" vertical="top" wrapText="1"/>
      <protection/>
    </xf>
    <xf numFmtId="10" fontId="1" fillId="0" borderId="10" xfId="52" applyNumberFormat="1" applyFont="1" applyBorder="1" applyAlignment="1">
      <alignment horizontal="center" vertical="top" wrapText="1"/>
      <protection/>
    </xf>
    <xf numFmtId="0" fontId="1" fillId="0" borderId="15" xfId="52" applyFont="1" applyBorder="1" applyAlignment="1">
      <alignment vertical="top" wrapText="1"/>
      <protection/>
    </xf>
    <xf numFmtId="49" fontId="1" fillId="0" borderId="15" xfId="52" applyNumberFormat="1" applyFont="1" applyBorder="1" applyAlignment="1">
      <alignment vertical="top" wrapText="1"/>
      <protection/>
    </xf>
    <xf numFmtId="4" fontId="1" fillId="0" borderId="16" xfId="52" applyNumberFormat="1" applyFont="1" applyBorder="1" applyAlignment="1">
      <alignment horizontal="center" vertical="top" wrapText="1"/>
      <protection/>
    </xf>
    <xf numFmtId="0" fontId="1" fillId="0" borderId="17" xfId="52" applyFont="1" applyBorder="1" applyAlignment="1">
      <alignment horizontal="center" vertical="top" wrapText="1"/>
      <protection/>
    </xf>
    <xf numFmtId="2" fontId="1" fillId="0" borderId="17" xfId="52" applyNumberFormat="1" applyFont="1" applyBorder="1" applyAlignment="1">
      <alignment horizontal="center" vertical="top" wrapText="1"/>
      <protection/>
    </xf>
    <xf numFmtId="10" fontId="1" fillId="0" borderId="17" xfId="52" applyNumberFormat="1" applyFont="1" applyBorder="1" applyAlignment="1">
      <alignment horizontal="center" vertical="top" wrapText="1"/>
      <protection/>
    </xf>
    <xf numFmtId="0" fontId="1" fillId="0" borderId="18" xfId="52" applyFont="1" applyBorder="1" applyAlignment="1">
      <alignment vertical="top" wrapText="1"/>
      <protection/>
    </xf>
    <xf numFmtId="0" fontId="8" fillId="4" borderId="0" xfId="52" applyFont="1" applyFill="1">
      <alignment/>
      <protection/>
    </xf>
    <xf numFmtId="4" fontId="1" fillId="4" borderId="26" xfId="52" applyNumberFormat="1" applyFont="1" applyFill="1" applyBorder="1" applyAlignment="1">
      <alignment horizontal="center" vertical="top" wrapText="1"/>
      <protection/>
    </xf>
    <xf numFmtId="0" fontId="1" fillId="4" borderId="27" xfId="52" applyFont="1" applyFill="1" applyBorder="1" applyAlignment="1">
      <alignment vertical="top" wrapText="1"/>
      <protection/>
    </xf>
    <xf numFmtId="4" fontId="1" fillId="4" borderId="27" xfId="52" applyNumberFormat="1" applyFont="1" applyFill="1" applyBorder="1" applyAlignment="1">
      <alignment horizontal="center" vertical="top" wrapText="1"/>
      <protection/>
    </xf>
    <xf numFmtId="0" fontId="1" fillId="4" borderId="28" xfId="52" applyFont="1" applyFill="1" applyBorder="1" applyAlignment="1">
      <alignment vertical="top" wrapText="1"/>
      <protection/>
    </xf>
    <xf numFmtId="0" fontId="8" fillId="24" borderId="0" xfId="52" applyFont="1" applyFill="1">
      <alignment/>
      <protection/>
    </xf>
    <xf numFmtId="4" fontId="1" fillId="6" borderId="11" xfId="52" applyNumberFormat="1" applyFont="1" applyFill="1" applyBorder="1" applyAlignment="1">
      <alignment horizontal="center" vertical="top" wrapText="1"/>
      <protection/>
    </xf>
    <xf numFmtId="0" fontId="1" fillId="6" borderId="12" xfId="52" applyFont="1" applyFill="1" applyBorder="1" applyAlignment="1">
      <alignment vertical="top" wrapText="1"/>
      <protection/>
    </xf>
    <xf numFmtId="0" fontId="1" fillId="6" borderId="12" xfId="52" applyFont="1" applyFill="1" applyBorder="1" applyAlignment="1">
      <alignment horizontal="center" vertical="top" wrapText="1"/>
      <protection/>
    </xf>
    <xf numFmtId="0" fontId="1" fillId="6" borderId="13" xfId="52" applyFont="1" applyFill="1" applyBorder="1" applyAlignment="1">
      <alignment vertical="top" wrapText="1"/>
      <protection/>
    </xf>
    <xf numFmtId="0" fontId="8" fillId="2" borderId="0" xfId="52" applyFont="1" applyFill="1">
      <alignment/>
      <protection/>
    </xf>
    <xf numFmtId="4" fontId="1" fillId="2" borderId="20" xfId="52" applyNumberFormat="1" applyFont="1" applyFill="1" applyBorder="1" applyAlignment="1">
      <alignment horizontal="center" vertical="top" wrapText="1"/>
      <protection/>
    </xf>
    <xf numFmtId="0" fontId="1" fillId="2" borderId="20" xfId="52" applyFont="1" applyFill="1" applyBorder="1" applyAlignment="1">
      <alignment vertical="top" wrapText="1"/>
      <protection/>
    </xf>
    <xf numFmtId="4" fontId="1" fillId="24" borderId="11" xfId="52" applyNumberFormat="1" applyFont="1" applyFill="1" applyBorder="1" applyAlignment="1">
      <alignment horizontal="center" vertical="top" wrapText="1"/>
      <protection/>
    </xf>
    <xf numFmtId="0" fontId="1" fillId="24" borderId="12" xfId="52" applyFont="1" applyFill="1" applyBorder="1" applyAlignment="1">
      <alignment vertical="top" wrapText="1"/>
      <protection/>
    </xf>
    <xf numFmtId="0" fontId="1" fillId="0" borderId="29" xfId="52" applyFont="1" applyBorder="1" applyAlignment="1">
      <alignment horizontal="center" vertical="top" wrapText="1"/>
      <protection/>
    </xf>
    <xf numFmtId="0" fontId="1" fillId="0" borderId="12" xfId="52" applyFont="1" applyBorder="1" applyAlignment="1">
      <alignment horizontal="center" vertical="top" wrapText="1"/>
      <protection/>
    </xf>
    <xf numFmtId="0" fontId="1" fillId="24" borderId="13" xfId="52" applyFont="1" applyFill="1" applyBorder="1" applyAlignment="1">
      <alignment vertical="top" wrapText="1"/>
      <protection/>
    </xf>
    <xf numFmtId="4" fontId="1" fillId="24" borderId="16" xfId="52" applyNumberFormat="1" applyFont="1" applyFill="1" applyBorder="1" applyAlignment="1">
      <alignment horizontal="center" vertical="top" wrapText="1"/>
      <protection/>
    </xf>
    <xf numFmtId="0" fontId="1" fillId="24" borderId="17" xfId="52" applyFont="1" applyFill="1" applyBorder="1" applyAlignment="1">
      <alignment vertical="top" wrapText="1"/>
      <protection/>
    </xf>
    <xf numFmtId="0" fontId="1" fillId="24" borderId="18" xfId="52" applyFont="1" applyFill="1" applyBorder="1" applyAlignment="1">
      <alignment vertical="top" wrapText="1"/>
      <protection/>
    </xf>
    <xf numFmtId="4" fontId="1" fillId="2" borderId="11" xfId="52" applyNumberFormat="1" applyFont="1" applyFill="1" applyBorder="1" applyAlignment="1">
      <alignment horizontal="center" vertical="top" wrapText="1"/>
      <protection/>
    </xf>
    <xf numFmtId="0" fontId="1" fillId="2" borderId="12" xfId="52" applyFont="1" applyFill="1" applyBorder="1" applyAlignment="1">
      <alignment vertical="top" wrapText="1"/>
      <protection/>
    </xf>
    <xf numFmtId="0" fontId="1" fillId="2" borderId="13" xfId="52" applyFont="1" applyFill="1" applyBorder="1" applyAlignment="1">
      <alignment vertical="top" wrapText="1"/>
      <protection/>
    </xf>
    <xf numFmtId="4" fontId="1" fillId="24" borderId="14" xfId="52" applyNumberFormat="1" applyFont="1" applyFill="1" applyBorder="1" applyAlignment="1">
      <alignment horizontal="center" vertical="top" wrapText="1"/>
      <protection/>
    </xf>
    <xf numFmtId="0" fontId="1" fillId="24" borderId="10" xfId="52" applyFont="1" applyFill="1" applyBorder="1" applyAlignment="1">
      <alignment vertical="top" wrapText="1"/>
      <protection/>
    </xf>
    <xf numFmtId="0" fontId="1" fillId="24" borderId="10" xfId="52" applyFont="1" applyFill="1" applyBorder="1" applyAlignment="1">
      <alignment horizontal="center" vertical="top" wrapText="1"/>
      <protection/>
    </xf>
    <xf numFmtId="0" fontId="1" fillId="0" borderId="20" xfId="52" applyFont="1" applyBorder="1" applyAlignment="1">
      <alignment horizontal="center" vertical="top" wrapText="1"/>
      <protection/>
    </xf>
    <xf numFmtId="0" fontId="1" fillId="24" borderId="17" xfId="52" applyFont="1" applyFill="1" applyBorder="1" applyAlignment="1">
      <alignment horizontal="center" vertical="top" wrapText="1"/>
      <protection/>
    </xf>
    <xf numFmtId="0" fontId="8" fillId="8" borderId="0" xfId="52" applyFont="1" applyFill="1">
      <alignment/>
      <protection/>
    </xf>
    <xf numFmtId="0" fontId="1" fillId="8" borderId="11" xfId="52" applyFont="1" applyFill="1" applyBorder="1" applyAlignment="1">
      <alignment horizontal="center" vertical="top" wrapText="1"/>
      <protection/>
    </xf>
    <xf numFmtId="0" fontId="1" fillId="8" borderId="12" xfId="52" applyFont="1" applyFill="1" applyBorder="1" applyAlignment="1">
      <alignment vertical="top" wrapText="1"/>
      <protection/>
    </xf>
    <xf numFmtId="0" fontId="1" fillId="8" borderId="13" xfId="52" applyFont="1" applyFill="1" applyBorder="1" applyAlignment="1">
      <alignment vertical="top" wrapText="1"/>
      <protection/>
    </xf>
    <xf numFmtId="0" fontId="1" fillId="0" borderId="21" xfId="52" applyFont="1" applyBorder="1" applyAlignment="1">
      <alignment horizontal="center" vertical="top" wrapText="1"/>
      <protection/>
    </xf>
    <xf numFmtId="0" fontId="1" fillId="0" borderId="22" xfId="52" applyFont="1" applyBorder="1" applyAlignment="1">
      <alignment vertical="top" wrapText="1"/>
      <protection/>
    </xf>
    <xf numFmtId="0" fontId="1" fillId="0" borderId="23" xfId="52" applyFont="1" applyBorder="1" applyAlignment="1">
      <alignment vertical="top" wrapText="1"/>
      <protection/>
    </xf>
    <xf numFmtId="0" fontId="1" fillId="0" borderId="14" xfId="52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vertical="top" wrapText="1"/>
      <protection/>
    </xf>
    <xf numFmtId="0" fontId="1" fillId="0" borderId="16" xfId="52" applyFont="1" applyBorder="1" applyAlignment="1">
      <alignment horizontal="center" vertical="top" wrapText="1"/>
      <protection/>
    </xf>
    <xf numFmtId="0" fontId="1" fillId="0" borderId="17" xfId="52" applyFont="1" applyBorder="1" applyAlignment="1">
      <alignment vertical="top" wrapText="1"/>
      <protection/>
    </xf>
    <xf numFmtId="0" fontId="1" fillId="2" borderId="11" xfId="52" applyFont="1" applyFill="1" applyBorder="1" applyAlignment="1">
      <alignment horizontal="center" vertical="top" wrapText="1"/>
      <protection/>
    </xf>
    <xf numFmtId="0" fontId="1" fillId="0" borderId="14" xfId="52" applyFont="1" applyBorder="1" applyAlignment="1">
      <alignment vertical="top" wrapText="1"/>
      <protection/>
    </xf>
    <xf numFmtId="0" fontId="1" fillId="0" borderId="15" xfId="52" applyFont="1" applyBorder="1" applyAlignment="1">
      <alignment horizontal="center" vertical="top" wrapText="1"/>
      <protection/>
    </xf>
    <xf numFmtId="0" fontId="1" fillId="2" borderId="12" xfId="52" applyFont="1" applyFill="1" applyBorder="1" applyAlignment="1">
      <alignment horizontal="center" vertical="top" wrapText="1"/>
      <protection/>
    </xf>
    <xf numFmtId="4" fontId="1" fillId="0" borderId="21" xfId="52" applyNumberFormat="1" applyFont="1" applyBorder="1" applyAlignment="1">
      <alignment horizontal="center" vertical="top" wrapText="1"/>
      <protection/>
    </xf>
    <xf numFmtId="0" fontId="1" fillId="0" borderId="22" xfId="52" applyFont="1" applyBorder="1" applyAlignment="1">
      <alignment horizontal="center" vertical="top" wrapText="1"/>
      <protection/>
    </xf>
    <xf numFmtId="0" fontId="4" fillId="2" borderId="13" xfId="52" applyFont="1" applyFill="1" applyBorder="1" applyAlignment="1">
      <alignment vertical="top" wrapText="1"/>
      <protection/>
    </xf>
    <xf numFmtId="0" fontId="4" fillId="0" borderId="15" xfId="52" applyFont="1" applyBorder="1" applyAlignment="1">
      <alignment vertical="top" wrapText="1"/>
      <protection/>
    </xf>
    <xf numFmtId="0" fontId="4" fillId="0" borderId="19" xfId="52" applyFont="1" applyBorder="1" applyAlignment="1">
      <alignment vertical="top" wrapText="1"/>
      <protection/>
    </xf>
    <xf numFmtId="0" fontId="4" fillId="0" borderId="18" xfId="52" applyFont="1" applyBorder="1" applyAlignment="1">
      <alignment vertical="top" wrapText="1"/>
      <protection/>
    </xf>
    <xf numFmtId="4" fontId="1" fillId="2" borderId="12" xfId="52" applyNumberFormat="1" applyFont="1" applyFill="1" applyBorder="1" applyAlignment="1">
      <alignment horizontal="center" vertical="top" wrapText="1"/>
      <protection/>
    </xf>
    <xf numFmtId="4" fontId="1" fillId="0" borderId="14" xfId="52" applyNumberFormat="1" applyFont="1" applyBorder="1" applyAlignment="1">
      <alignment horizontal="center"/>
      <protection/>
    </xf>
    <xf numFmtId="4" fontId="1" fillId="0" borderId="16" xfId="52" applyNumberFormat="1" applyFont="1" applyBorder="1" applyAlignment="1">
      <alignment horizontal="center"/>
      <protection/>
    </xf>
    <xf numFmtId="0" fontId="4" fillId="2" borderId="13" xfId="52" applyFont="1" applyFill="1" applyBorder="1" applyAlignment="1">
      <alignment wrapText="1"/>
      <protection/>
    </xf>
    <xf numFmtId="0" fontId="4" fillId="0" borderId="15" xfId="52" applyFont="1" applyBorder="1" applyAlignment="1">
      <alignment wrapText="1"/>
      <protection/>
    </xf>
    <xf numFmtId="4" fontId="1" fillId="0" borderId="30" xfId="52" applyNumberFormat="1" applyFont="1" applyBorder="1" applyAlignment="1">
      <alignment horizontal="center" vertical="top" wrapText="1"/>
      <protection/>
    </xf>
    <xf numFmtId="0" fontId="1" fillId="0" borderId="31" xfId="52" applyFont="1" applyBorder="1" applyAlignment="1">
      <alignment horizontal="center" vertical="top" wrapText="1"/>
      <protection/>
    </xf>
    <xf numFmtId="0" fontId="4" fillId="0" borderId="26" xfId="52" applyFont="1" applyBorder="1" applyAlignment="1">
      <alignment vertical="top" wrapText="1"/>
      <protection/>
    </xf>
    <xf numFmtId="0" fontId="4" fillId="0" borderId="27" xfId="52" applyFont="1" applyBorder="1" applyAlignment="1">
      <alignment vertical="top" wrapText="1"/>
      <protection/>
    </xf>
    <xf numFmtId="0" fontId="4" fillId="0" borderId="28" xfId="52" applyFont="1" applyBorder="1" applyAlignment="1">
      <alignment vertical="top" wrapText="1"/>
      <protection/>
    </xf>
    <xf numFmtId="0" fontId="13" fillId="0" borderId="10" xfId="52" applyFont="1" applyBorder="1" applyAlignment="1">
      <alignment horizontal="center" wrapText="1"/>
      <protection/>
    </xf>
    <xf numFmtId="0" fontId="13" fillId="25" borderId="10" xfId="52" applyFont="1" applyFill="1" applyBorder="1" applyAlignment="1" applyProtection="1">
      <alignment horizontal="center" wrapText="1"/>
      <protection locked="0"/>
    </xf>
    <xf numFmtId="0" fontId="1" fillId="0" borderId="10" xfId="52" applyFont="1" applyBorder="1" applyAlignment="1">
      <alignment horizontal="center" wrapText="1"/>
      <protection/>
    </xf>
    <xf numFmtId="0" fontId="20" fillId="0" borderId="0" xfId="52" applyFont="1" applyAlignment="1">
      <alignment vertical="center" wrapText="1"/>
      <protection/>
    </xf>
    <xf numFmtId="4" fontId="8" fillId="0" borderId="10" xfId="52" applyNumberFormat="1" applyBorder="1">
      <alignment/>
      <protection/>
    </xf>
    <xf numFmtId="4" fontId="8" fillId="25" borderId="10" xfId="52" applyNumberFormat="1" applyFill="1" applyBorder="1" applyProtection="1">
      <alignment/>
      <protection locked="0"/>
    </xf>
    <xf numFmtId="0" fontId="22" fillId="0" borderId="0" xfId="52" applyFont="1">
      <alignment/>
      <protection/>
    </xf>
    <xf numFmtId="0" fontId="22" fillId="0" borderId="0" xfId="52" applyFont="1" applyProtection="1">
      <alignment/>
      <protection locked="0"/>
    </xf>
    <xf numFmtId="4" fontId="22" fillId="0" borderId="0" xfId="52" applyNumberFormat="1" applyFont="1" applyProtection="1">
      <alignment/>
      <protection locked="0"/>
    </xf>
    <xf numFmtId="4" fontId="8" fillId="0" borderId="10" xfId="52" applyNumberFormat="1" applyFont="1" applyBorder="1">
      <alignment/>
      <protection/>
    </xf>
    <xf numFmtId="4" fontId="8" fillId="25" borderId="10" xfId="52" applyNumberFormat="1" applyFont="1" applyFill="1" applyBorder="1" applyProtection="1">
      <alignment/>
      <protection locked="0"/>
    </xf>
    <xf numFmtId="49" fontId="22" fillId="0" borderId="10" xfId="52" applyNumberFormat="1" applyFont="1" applyBorder="1" applyAlignment="1">
      <alignment horizontal="right"/>
      <protection/>
    </xf>
    <xf numFmtId="0" fontId="22" fillId="0" borderId="10" xfId="52" applyFont="1" applyBorder="1">
      <alignment/>
      <protection/>
    </xf>
    <xf numFmtId="4" fontId="22" fillId="0" borderId="10" xfId="52" applyNumberFormat="1" applyFont="1" applyBorder="1">
      <alignment/>
      <protection/>
    </xf>
    <xf numFmtId="4" fontId="8" fillId="0" borderId="0" xfId="52" applyNumberFormat="1" applyFont="1" applyFill="1">
      <alignment/>
      <protection/>
    </xf>
    <xf numFmtId="0" fontId="8" fillId="0" borderId="10" xfId="52" applyFont="1" applyFill="1" applyBorder="1">
      <alignment/>
      <protection/>
    </xf>
    <xf numFmtId="4" fontId="8" fillId="9" borderId="10" xfId="52" applyNumberFormat="1" applyFont="1" applyFill="1" applyBorder="1" applyProtection="1">
      <alignment/>
      <protection locked="0"/>
    </xf>
    <xf numFmtId="4" fontId="22" fillId="0" borderId="0" xfId="52" applyNumberFormat="1" applyFont="1">
      <alignment/>
      <protection/>
    </xf>
    <xf numFmtId="0" fontId="8" fillId="25" borderId="10" xfId="52" applyFont="1" applyFill="1" applyBorder="1">
      <alignment/>
      <protection/>
    </xf>
    <xf numFmtId="4" fontId="8" fillId="0" borderId="10" xfId="52" applyNumberFormat="1" applyFont="1" applyFill="1" applyBorder="1" applyProtection="1">
      <alignment/>
      <protection locked="0"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1" fillId="0" borderId="12" xfId="52" applyFont="1" applyFill="1" applyBorder="1" applyAlignment="1">
      <alignment wrapText="1"/>
      <protection/>
    </xf>
    <xf numFmtId="0" fontId="2" fillId="25" borderId="14" xfId="52" applyFont="1" applyFill="1" applyBorder="1">
      <alignment/>
      <protection/>
    </xf>
    <xf numFmtId="0" fontId="2" fillId="25" borderId="11" xfId="52" applyFont="1" applyFill="1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4" fontId="1" fillId="0" borderId="17" xfId="52" applyNumberFormat="1" applyFont="1" applyBorder="1" applyAlignment="1">
      <alignment horizontal="center" vertical="top" wrapText="1"/>
      <protection/>
    </xf>
    <xf numFmtId="4" fontId="1" fillId="0" borderId="20" xfId="52" applyNumberFormat="1" applyFont="1" applyBorder="1" applyAlignment="1">
      <alignment horizontal="center" vertical="top" wrapText="1"/>
      <protection/>
    </xf>
    <xf numFmtId="4" fontId="1" fillId="0" borderId="10" xfId="52" applyNumberFormat="1" applyFont="1" applyBorder="1" applyAlignment="1">
      <alignment horizontal="center" vertical="top" wrapText="1"/>
      <protection/>
    </xf>
    <xf numFmtId="0" fontId="1" fillId="0" borderId="32" xfId="52" applyFont="1" applyBorder="1" applyAlignment="1">
      <alignment horizontal="center" vertical="top" wrapText="1"/>
      <protection/>
    </xf>
    <xf numFmtId="0" fontId="1" fillId="0" borderId="33" xfId="52" applyFont="1" applyBorder="1" applyAlignment="1">
      <alignment horizontal="center" vertical="top" wrapText="1"/>
      <protection/>
    </xf>
    <xf numFmtId="0" fontId="1" fillId="2" borderId="34" xfId="52" applyFont="1" applyFill="1" applyBorder="1" applyAlignment="1">
      <alignment horizontal="center" vertical="top" wrapText="1"/>
      <protection/>
    </xf>
    <xf numFmtId="0" fontId="1" fillId="0" borderId="18" xfId="52" applyFont="1" applyBorder="1" applyAlignment="1">
      <alignment horizontal="center" vertical="top" wrapText="1"/>
      <protection/>
    </xf>
    <xf numFmtId="0" fontId="8" fillId="0" borderId="17" xfId="52" applyFont="1" applyFill="1" applyBorder="1" applyAlignment="1">
      <alignment horizontal="center"/>
      <protection/>
    </xf>
    <xf numFmtId="0" fontId="8" fillId="0" borderId="16" xfId="52" applyFont="1" applyFill="1" applyBorder="1" applyAlignment="1">
      <alignment horizontal="center"/>
      <protection/>
    </xf>
    <xf numFmtId="0" fontId="8" fillId="0" borderId="14" xfId="52" applyFont="1" applyFill="1" applyBorder="1" applyAlignment="1">
      <alignment horizontal="center"/>
      <protection/>
    </xf>
    <xf numFmtId="0" fontId="1" fillId="2" borderId="13" xfId="52" applyFont="1" applyFill="1" applyBorder="1" applyAlignment="1">
      <alignment horizontal="center" vertical="top" wrapText="1"/>
      <protection/>
    </xf>
    <xf numFmtId="0" fontId="24" fillId="0" borderId="28" xfId="52" applyFont="1" applyFill="1" applyBorder="1" applyAlignment="1">
      <alignment vertical="top" wrapText="1"/>
      <protection/>
    </xf>
    <xf numFmtId="0" fontId="25" fillId="0" borderId="27" xfId="52" applyFont="1" applyBorder="1">
      <alignment/>
      <protection/>
    </xf>
    <xf numFmtId="4" fontId="24" fillId="0" borderId="27" xfId="52" applyNumberFormat="1" applyFont="1" applyBorder="1" applyAlignment="1">
      <alignment horizontal="center"/>
      <protection/>
    </xf>
    <xf numFmtId="0" fontId="24" fillId="0" borderId="27" xfId="52" applyFont="1" applyBorder="1">
      <alignment/>
      <protection/>
    </xf>
    <xf numFmtId="4" fontId="24" fillId="0" borderId="26" xfId="52" applyNumberFormat="1" applyFont="1" applyBorder="1" applyAlignment="1">
      <alignment horizontal="center"/>
      <protection/>
    </xf>
    <xf numFmtId="0" fontId="26" fillId="0" borderId="10" xfId="52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3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3" fillId="0" borderId="0" xfId="52" applyFont="1" applyAlignment="1">
      <alignment horizontal="center" vertical="center" wrapText="1"/>
      <protection/>
    </xf>
    <xf numFmtId="4" fontId="8" fillId="26" borderId="10" xfId="52" applyNumberFormat="1" applyFont="1" applyFill="1" applyBorder="1" applyProtection="1">
      <alignment/>
      <protection locked="0"/>
    </xf>
    <xf numFmtId="0" fontId="13" fillId="26" borderId="10" xfId="52" applyFont="1" applyFill="1" applyBorder="1" applyAlignment="1" applyProtection="1">
      <alignment horizontal="center" wrapText="1"/>
      <protection locked="0"/>
    </xf>
    <xf numFmtId="4" fontId="1" fillId="0" borderId="0" xfId="52" applyNumberFormat="1" applyFont="1" applyAlignment="1">
      <alignment/>
      <protection/>
    </xf>
    <xf numFmtId="4" fontId="1" fillId="0" borderId="0" xfId="52" applyNumberFormat="1" applyFont="1">
      <alignment/>
      <protection/>
    </xf>
    <xf numFmtId="4" fontId="1" fillId="0" borderId="0" xfId="52" applyNumberFormat="1" applyFont="1" applyFill="1">
      <alignment/>
      <protection/>
    </xf>
    <xf numFmtId="1" fontId="2" fillId="0" borderId="14" xfId="52" applyNumberFormat="1" applyFont="1" applyBorder="1">
      <alignment/>
      <protection/>
    </xf>
    <xf numFmtId="0" fontId="0" fillId="0" borderId="0" xfId="0" applyAlignment="1">
      <alignment wrapText="1"/>
    </xf>
    <xf numFmtId="0" fontId="33" fillId="0" borderId="10" xfId="0" applyFont="1" applyBorder="1" applyAlignment="1">
      <alignment wrapText="1"/>
    </xf>
    <xf numFmtId="0" fontId="33" fillId="5" borderId="10" xfId="0" applyFont="1" applyFill="1" applyBorder="1" applyAlignment="1">
      <alignment horizontal="center"/>
    </xf>
    <xf numFmtId="0" fontId="33" fillId="5" borderId="10" xfId="0" applyFont="1" applyFill="1" applyBorder="1" applyAlignment="1">
      <alignment wrapText="1"/>
    </xf>
    <xf numFmtId="4" fontId="33" fillId="5" borderId="10" xfId="0" applyNumberFormat="1" applyFont="1" applyFill="1" applyBorder="1" applyAlignment="1">
      <alignment horizontal="center"/>
    </xf>
    <xf numFmtId="4" fontId="34" fillId="5" borderId="10" xfId="0" applyNumberFormat="1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4" fontId="33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8" fillId="0" borderId="23" xfId="52" applyFont="1" applyBorder="1">
      <alignment/>
      <protection/>
    </xf>
    <xf numFmtId="0" fontId="1" fillId="0" borderId="0" xfId="52" applyFont="1" applyAlignment="1">
      <alignment horizontal="center"/>
      <protection/>
    </xf>
    <xf numFmtId="0" fontId="18" fillId="0" borderId="0" xfId="52" applyFont="1" applyAlignment="1">
      <alignment horizontal="center" wrapText="1"/>
      <protection/>
    </xf>
    <xf numFmtId="0" fontId="2" fillId="0" borderId="40" xfId="52" applyFont="1" applyBorder="1" applyAlignment="1">
      <alignment wrapText="1"/>
      <protection/>
    </xf>
    <xf numFmtId="0" fontId="1" fillId="0" borderId="16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center"/>
      <protection/>
    </xf>
    <xf numFmtId="0" fontId="1" fillId="7" borderId="10" xfId="52" applyFont="1" applyFill="1" applyBorder="1" applyAlignment="1">
      <alignment horizontal="center"/>
      <protection/>
    </xf>
    <xf numFmtId="4" fontId="1" fillId="0" borderId="0" xfId="52" applyNumberFormat="1" applyFont="1" applyBorder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0" fontId="28" fillId="0" borderId="3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" fillId="0" borderId="38" xfId="0" applyFont="1" applyBorder="1" applyAlignment="1" quotePrefix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38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26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distributed"/>
    </xf>
    <xf numFmtId="0" fontId="0" fillId="0" borderId="0" xfId="0" applyAlignment="1">
      <alignment vertical="distributed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left" wrapText="1"/>
    </xf>
    <xf numFmtId="0" fontId="28" fillId="0" borderId="38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/>
    </xf>
    <xf numFmtId="0" fontId="4" fillId="0" borderId="38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38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3" xfId="0" applyFont="1" applyBorder="1" applyAlignment="1">
      <alignment horizontal="right"/>
    </xf>
    <xf numFmtId="0" fontId="29" fillId="0" borderId="3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9" fillId="0" borderId="22" xfId="52" applyFont="1" applyBorder="1" applyAlignment="1">
      <alignment horizontal="center" vertical="top" wrapText="1"/>
      <protection/>
    </xf>
    <xf numFmtId="0" fontId="9" fillId="0" borderId="45" xfId="52" applyFont="1" applyBorder="1" applyAlignment="1">
      <alignment horizontal="center" wrapText="1"/>
      <protection/>
    </xf>
    <xf numFmtId="0" fontId="21" fillId="0" borderId="0" xfId="52" applyFont="1" applyAlignment="1">
      <alignment horizontal="center" vertical="center"/>
      <protection/>
    </xf>
    <xf numFmtId="0" fontId="11" fillId="0" borderId="46" xfId="52" applyFont="1" applyBorder="1" applyAlignment="1">
      <alignment horizontal="center" vertical="top" wrapText="1"/>
      <protection/>
    </xf>
    <xf numFmtId="0" fontId="1" fillId="0" borderId="15" xfId="52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 vertical="top" wrapText="1"/>
      <protection/>
    </xf>
    <xf numFmtId="0" fontId="1" fillId="0" borderId="14" xfId="52" applyFont="1" applyBorder="1" applyAlignment="1">
      <alignment horizontal="center" vertical="top" wrapText="1"/>
      <protection/>
    </xf>
    <xf numFmtId="0" fontId="9" fillId="0" borderId="46" xfId="52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center"/>
      <protection/>
    </xf>
    <xf numFmtId="0" fontId="9" fillId="0" borderId="43" xfId="52" applyFont="1" applyBorder="1" applyAlignment="1">
      <alignment horizontal="center"/>
      <protection/>
    </xf>
    <xf numFmtId="0" fontId="11" fillId="0" borderId="47" xfId="52" applyFont="1" applyBorder="1" applyAlignment="1">
      <alignment horizontal="center" vertical="top" wrapText="1"/>
      <protection/>
    </xf>
    <xf numFmtId="16" fontId="9" fillId="0" borderId="45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center" wrapText="1"/>
      <protection/>
    </xf>
    <xf numFmtId="0" fontId="9" fillId="0" borderId="43" xfId="52" applyFont="1" applyBorder="1" applyAlignment="1">
      <alignment horizontal="center" wrapText="1"/>
      <protection/>
    </xf>
    <xf numFmtId="0" fontId="11" fillId="0" borderId="32" xfId="52" applyFont="1" applyBorder="1" applyAlignment="1">
      <alignment horizontal="center" vertical="top" wrapText="1"/>
      <protection/>
    </xf>
    <xf numFmtId="0" fontId="18" fillId="0" borderId="32" xfId="52" applyFont="1" applyBorder="1" applyAlignment="1">
      <alignment horizontal="center" vertical="top" wrapText="1"/>
      <protection/>
    </xf>
    <xf numFmtId="0" fontId="18" fillId="0" borderId="47" xfId="52" applyFont="1" applyBorder="1" applyAlignment="1">
      <alignment horizontal="center" vertical="top" wrapText="1"/>
      <protection/>
    </xf>
    <xf numFmtId="0" fontId="9" fillId="0" borderId="48" xfId="52" applyFont="1" applyBorder="1" applyAlignment="1">
      <alignment horizontal="center" vertical="top" wrapText="1"/>
      <protection/>
    </xf>
    <xf numFmtId="0" fontId="9" fillId="0" borderId="49" xfId="52" applyFont="1" applyBorder="1" applyAlignment="1">
      <alignment horizontal="center" vertical="top" wrapText="1"/>
      <protection/>
    </xf>
    <xf numFmtId="0" fontId="20" fillId="0" borderId="35" xfId="52" applyFont="1" applyBorder="1" applyAlignment="1">
      <alignment horizontal="left" vertical="center" wrapText="1"/>
      <protection/>
    </xf>
    <xf numFmtId="0" fontId="11" fillId="0" borderId="48" xfId="52" applyFont="1" applyBorder="1" applyAlignment="1">
      <alignment horizontal="center" vertical="top" wrapText="1"/>
      <protection/>
    </xf>
    <xf numFmtId="0" fontId="11" fillId="0" borderId="49" xfId="52" applyFont="1" applyBorder="1" applyAlignment="1">
      <alignment horizontal="center" vertical="top" wrapText="1"/>
      <protection/>
    </xf>
    <xf numFmtId="0" fontId="11" fillId="0" borderId="50" xfId="52" applyFont="1" applyBorder="1" applyAlignment="1">
      <alignment horizontal="center" vertical="top" wrapText="1"/>
      <protection/>
    </xf>
    <xf numFmtId="0" fontId="11" fillId="0" borderId="35" xfId="52" applyFont="1" applyBorder="1" applyAlignment="1">
      <alignment horizontal="center" wrapText="1"/>
      <protection/>
    </xf>
    <xf numFmtId="16" fontId="9" fillId="0" borderId="49" xfId="52" applyNumberFormat="1" applyFont="1" applyBorder="1" applyAlignment="1">
      <alignment horizontal="center" vertical="top" wrapText="1"/>
      <protection/>
    </xf>
    <xf numFmtId="0" fontId="19" fillId="0" borderId="1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4" xfId="52" applyFont="1" applyBorder="1" applyAlignment="1">
      <alignment wrapText="1"/>
      <protection/>
    </xf>
    <xf numFmtId="4" fontId="1" fillId="4" borderId="38" xfId="52" applyNumberFormat="1" applyFont="1" applyFill="1" applyBorder="1" applyAlignment="1">
      <alignment horizontal="center" wrapText="1"/>
      <protection/>
    </xf>
    <xf numFmtId="4" fontId="1" fillId="4" borderId="51" xfId="52" applyNumberFormat="1" applyFont="1" applyFill="1" applyBorder="1" applyAlignment="1">
      <alignment horizontal="center" wrapText="1"/>
      <protection/>
    </xf>
    <xf numFmtId="0" fontId="1" fillId="0" borderId="12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52" xfId="52" applyFont="1" applyBorder="1" applyAlignment="1">
      <alignment horizontal="center" wrapText="1"/>
      <protection/>
    </xf>
    <xf numFmtId="0" fontId="4" fillId="0" borderId="53" xfId="52" applyFont="1" applyBorder="1" applyAlignment="1">
      <alignment horizontal="center" wrapText="1"/>
      <protection/>
    </xf>
    <xf numFmtId="0" fontId="2" fillId="0" borderId="0" xfId="52" applyFont="1" applyAlignment="1">
      <alignment horizontal="center" wrapText="1"/>
      <protection/>
    </xf>
    <xf numFmtId="4" fontId="1" fillId="4" borderId="34" xfId="52" applyNumberFormat="1" applyFont="1" applyFill="1" applyBorder="1" applyAlignment="1">
      <alignment horizontal="center" wrapText="1"/>
      <protection/>
    </xf>
    <xf numFmtId="4" fontId="1" fillId="4" borderId="54" xfId="52" applyNumberFormat="1" applyFont="1" applyFill="1" applyBorder="1" applyAlignment="1">
      <alignment horizontal="center" wrapText="1"/>
      <protection/>
    </xf>
    <xf numFmtId="0" fontId="11" fillId="0" borderId="0" xfId="52" applyFont="1" applyBorder="1" applyAlignment="1">
      <alignment horizontal="center" wrapText="1"/>
      <protection/>
    </xf>
    <xf numFmtId="0" fontId="1" fillId="0" borderId="0" xfId="52" applyFont="1" applyAlignment="1">
      <alignment horizontal="right" wrapText="1"/>
      <protection/>
    </xf>
    <xf numFmtId="0" fontId="9" fillId="0" borderId="0" xfId="52" applyFont="1" applyAlignment="1">
      <alignment horizontal="center" wrapText="1"/>
      <protection/>
    </xf>
    <xf numFmtId="0" fontId="4" fillId="0" borderId="17" xfId="52" applyFont="1" applyBorder="1" applyAlignment="1">
      <alignment horizontal="center" wrapText="1"/>
      <protection/>
    </xf>
    <xf numFmtId="0" fontId="4" fillId="0" borderId="16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center" wrapText="1"/>
      <protection/>
    </xf>
    <xf numFmtId="0" fontId="2" fillId="0" borderId="55" xfId="52" applyFont="1" applyBorder="1" applyAlignment="1">
      <alignment horizontal="center"/>
      <protection/>
    </xf>
    <xf numFmtId="0" fontId="2" fillId="0" borderId="39" xfId="52" applyFont="1" applyBorder="1" applyAlignment="1">
      <alignment horizontal="center"/>
      <protection/>
    </xf>
    <xf numFmtId="0" fontId="2" fillId="0" borderId="51" xfId="52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16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8" fillId="0" borderId="0" xfId="52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11" fillId="0" borderId="39" xfId="52" applyFont="1" applyBorder="1" applyAlignment="1">
      <alignment horizontal="center" wrapText="1"/>
      <protection/>
    </xf>
    <xf numFmtId="0" fontId="9" fillId="0" borderId="39" xfId="52" applyFont="1" applyBorder="1" applyAlignment="1">
      <alignment horizontal="center" wrapText="1"/>
      <protection/>
    </xf>
    <xf numFmtId="0" fontId="9" fillId="0" borderId="25" xfId="52" applyFont="1" applyBorder="1" applyAlignment="1">
      <alignment horizontal="center" wrapText="1"/>
      <protection/>
    </xf>
    <xf numFmtId="0" fontId="18" fillId="0" borderId="0" xfId="52" applyFont="1" applyAlignment="1">
      <alignment horizontal="center" wrapText="1"/>
      <protection/>
    </xf>
    <xf numFmtId="0" fontId="23" fillId="0" borderId="0" xfId="52" applyFont="1" applyAlignment="1">
      <alignment horizontal="center"/>
      <protection/>
    </xf>
    <xf numFmtId="0" fontId="33" fillId="0" borderId="0" xfId="0" applyFont="1" applyAlignment="1">
      <alignment horizontal="left"/>
    </xf>
    <xf numFmtId="0" fontId="33" fillId="0" borderId="10" xfId="0" applyFont="1" applyBorder="1" applyAlignment="1">
      <alignment horizont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10" xfId="0" applyFont="1" applyBorder="1" applyAlignment="1">
      <alignment horizontal="left" wrapText="1"/>
    </xf>
    <xf numFmtId="0" fontId="33" fillId="0" borderId="22" xfId="0" applyFont="1" applyBorder="1" applyAlignment="1">
      <alignment horizontal="center" wrapText="1"/>
    </xf>
    <xf numFmtId="0" fontId="33" fillId="0" borderId="2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0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5"/>
  <cols>
    <col min="1" max="1" width="19.140625" style="5" customWidth="1"/>
    <col min="2" max="2" width="3.8515625" style="5" customWidth="1"/>
    <col min="3" max="3" width="6.57421875" style="5" customWidth="1"/>
    <col min="4" max="4" width="6.421875" style="5" customWidth="1"/>
    <col min="5" max="5" width="9.140625" style="5" customWidth="1"/>
    <col min="6" max="7" width="7.57421875" style="5" customWidth="1"/>
    <col min="8" max="8" width="27.7109375" style="5" customWidth="1"/>
    <col min="9" max="9" width="5.8515625" style="5" customWidth="1"/>
    <col min="10" max="10" width="6.00390625" style="5" customWidth="1"/>
    <col min="11" max="11" width="7.421875" style="5" customWidth="1"/>
    <col min="12" max="13" width="9.140625" style="5" customWidth="1"/>
    <col min="14" max="14" width="9.421875" style="5" customWidth="1"/>
    <col min="15" max="15" width="7.00390625" style="5" customWidth="1"/>
    <col min="16" max="16" width="6.8515625" style="5" customWidth="1"/>
    <col min="17" max="16384" width="9.140625" style="5" customWidth="1"/>
  </cols>
  <sheetData>
    <row r="1" ht="15">
      <c r="L1" s="5" t="s">
        <v>11</v>
      </c>
    </row>
    <row r="2" ht="15">
      <c r="L2" s="5" t="s">
        <v>19</v>
      </c>
    </row>
    <row r="3" ht="15">
      <c r="L3" s="5" t="s">
        <v>20</v>
      </c>
    </row>
    <row r="4" ht="15">
      <c r="L4" s="5" t="s">
        <v>354</v>
      </c>
    </row>
    <row r="5" spans="12:14" ht="15">
      <c r="L5" s="7" t="s">
        <v>397</v>
      </c>
      <c r="M5" s="7"/>
      <c r="N5" s="7"/>
    </row>
    <row r="6" ht="6.75" customHeight="1"/>
    <row r="7" ht="5.25" customHeight="1"/>
    <row r="8" spans="1:16" ht="15">
      <c r="A8" s="314" t="s">
        <v>391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</row>
    <row r="9" spans="1:16" ht="15">
      <c r="A9" s="314" t="s">
        <v>0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</row>
    <row r="10" spans="1:16" ht="15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347" t="s">
        <v>10</v>
      </c>
      <c r="P10" s="347"/>
    </row>
    <row r="11" spans="13:16" ht="15">
      <c r="M11" s="387" t="s">
        <v>8</v>
      </c>
      <c r="N11" s="388"/>
      <c r="O11" s="391" t="s">
        <v>9</v>
      </c>
      <c r="P11" s="391"/>
    </row>
    <row r="12" spans="13:16" ht="15">
      <c r="M12" s="257"/>
      <c r="N12" s="257" t="s">
        <v>7</v>
      </c>
      <c r="O12" s="347"/>
      <c r="P12" s="347"/>
    </row>
    <row r="13" spans="1:16" ht="15">
      <c r="A13" s="5" t="s">
        <v>1</v>
      </c>
      <c r="M13" s="257"/>
      <c r="N13" s="257"/>
      <c r="O13" s="347"/>
      <c r="P13" s="347"/>
    </row>
    <row r="14" spans="1:16" ht="15">
      <c r="A14" s="389" t="s">
        <v>392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7" t="s">
        <v>5</v>
      </c>
      <c r="N14" s="388"/>
      <c r="O14" s="347"/>
      <c r="P14" s="347"/>
    </row>
    <row r="15" spans="1:16" ht="15">
      <c r="A15" s="9" t="s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257"/>
      <c r="N15" s="257" t="s">
        <v>6</v>
      </c>
      <c r="O15" s="347" t="s">
        <v>97</v>
      </c>
      <c r="P15" s="347"/>
    </row>
    <row r="16" spans="1:16" ht="15">
      <c r="A16" s="360" t="s">
        <v>95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257"/>
      <c r="N16" s="257" t="s">
        <v>6</v>
      </c>
      <c r="O16" s="347" t="s">
        <v>103</v>
      </c>
      <c r="P16" s="347"/>
    </row>
    <row r="17" spans="1:16" ht="15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257"/>
      <c r="N17" s="257" t="s">
        <v>6</v>
      </c>
      <c r="O17" s="347" t="s">
        <v>109</v>
      </c>
      <c r="P17" s="347"/>
    </row>
    <row r="18" spans="1:16" ht="15">
      <c r="A18" s="5" t="s">
        <v>3</v>
      </c>
      <c r="O18" s="347">
        <v>80</v>
      </c>
      <c r="P18" s="347"/>
    </row>
    <row r="19" spans="1:16" ht="15">
      <c r="A19" s="360" t="s">
        <v>96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N19" s="257" t="s">
        <v>6</v>
      </c>
      <c r="O19" s="347"/>
      <c r="P19" s="347"/>
    </row>
    <row r="20" spans="1:12" ht="15">
      <c r="A20" s="390" t="s">
        <v>4</v>
      </c>
      <c r="B20" s="390"/>
      <c r="C20" s="390"/>
      <c r="D20" s="390"/>
      <c r="E20" s="390"/>
      <c r="F20" s="390"/>
      <c r="G20" s="390"/>
      <c r="H20" s="390"/>
      <c r="I20" s="390"/>
      <c r="J20" s="390"/>
      <c r="K20" s="8"/>
      <c r="L20" s="8"/>
    </row>
    <row r="21" ht="8.25" customHeight="1"/>
    <row r="22" ht="5.25" customHeight="1"/>
    <row r="23" spans="1:16" ht="15">
      <c r="A23" s="314" t="s">
        <v>12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</row>
    <row r="24" spans="1:16" ht="15">
      <c r="A24" s="314" t="s">
        <v>355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</row>
    <row r="25" ht="7.5" customHeight="1"/>
    <row r="26" spans="1:16" ht="15">
      <c r="A26" s="5" t="s">
        <v>13</v>
      </c>
      <c r="E26" s="360" t="s">
        <v>89</v>
      </c>
      <c r="F26" s="360"/>
      <c r="G26" s="360"/>
      <c r="H26" s="360"/>
      <c r="I26" s="360"/>
      <c r="J26" s="360"/>
      <c r="K26" s="360"/>
      <c r="L26" s="360"/>
      <c r="M26" s="6"/>
      <c r="N26" s="6" t="s">
        <v>15</v>
      </c>
      <c r="O26" s="347" t="s">
        <v>98</v>
      </c>
      <c r="P26" s="347"/>
    </row>
    <row r="27" spans="1:16" ht="15">
      <c r="A27" s="361" t="s">
        <v>88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6"/>
      <c r="N27" s="6" t="s">
        <v>16</v>
      </c>
      <c r="O27" s="347"/>
      <c r="P27" s="347"/>
    </row>
    <row r="28" spans="1:16" ht="15">
      <c r="A28" s="5" t="s">
        <v>14</v>
      </c>
      <c r="M28" s="6"/>
      <c r="N28" s="6" t="s">
        <v>17</v>
      </c>
      <c r="O28" s="347"/>
      <c r="P28" s="347"/>
    </row>
    <row r="29" spans="1:14" ht="15">
      <c r="A29" s="361" t="s">
        <v>90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</row>
    <row r="30" spans="1:14" ht="4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ht="15">
      <c r="A31" s="5" t="s">
        <v>18</v>
      </c>
    </row>
    <row r="32" ht="5.25" customHeight="1"/>
    <row r="33" ht="15">
      <c r="A33" s="5" t="s">
        <v>21</v>
      </c>
    </row>
    <row r="34" ht="7.5" customHeight="1"/>
    <row r="35" spans="1:16" ht="45" customHeight="1">
      <c r="A35" s="333" t="s">
        <v>22</v>
      </c>
      <c r="B35" s="333"/>
      <c r="C35" s="351" t="s">
        <v>23</v>
      </c>
      <c r="D35" s="352"/>
      <c r="E35" s="353"/>
      <c r="F35" s="333" t="s">
        <v>25</v>
      </c>
      <c r="G35" s="333"/>
      <c r="H35" s="333" t="s">
        <v>26</v>
      </c>
      <c r="I35" s="333"/>
      <c r="J35" s="333"/>
      <c r="K35" s="333"/>
      <c r="L35" s="333"/>
      <c r="M35" s="351" t="s">
        <v>27</v>
      </c>
      <c r="N35" s="352"/>
      <c r="O35" s="353"/>
      <c r="P35" s="259"/>
    </row>
    <row r="36" spans="1:16" s="261" customFormat="1" ht="24.75" customHeight="1">
      <c r="A36" s="333"/>
      <c r="B36" s="333"/>
      <c r="C36" s="332" t="s">
        <v>24</v>
      </c>
      <c r="D36" s="332" t="s">
        <v>24</v>
      </c>
      <c r="E36" s="332" t="s">
        <v>24</v>
      </c>
      <c r="F36" s="332" t="s">
        <v>24</v>
      </c>
      <c r="G36" s="332" t="s">
        <v>24</v>
      </c>
      <c r="H36" s="333" t="s">
        <v>31</v>
      </c>
      <c r="I36" s="333"/>
      <c r="J36" s="333" t="s">
        <v>28</v>
      </c>
      <c r="K36" s="333"/>
      <c r="L36" s="333"/>
      <c r="M36" s="317" t="s">
        <v>32</v>
      </c>
      <c r="N36" s="317" t="s">
        <v>33</v>
      </c>
      <c r="O36" s="317" t="s">
        <v>34</v>
      </c>
      <c r="P36" s="260"/>
    </row>
    <row r="37" spans="1:16" s="261" customFormat="1" ht="16.5" customHeight="1">
      <c r="A37" s="333"/>
      <c r="B37" s="333"/>
      <c r="C37" s="332"/>
      <c r="D37" s="332"/>
      <c r="E37" s="332"/>
      <c r="F37" s="332"/>
      <c r="G37" s="332"/>
      <c r="H37" s="333"/>
      <c r="I37" s="333"/>
      <c r="J37" s="325" t="s">
        <v>30</v>
      </c>
      <c r="K37" s="326"/>
      <c r="L37" s="11" t="s">
        <v>29</v>
      </c>
      <c r="M37" s="318"/>
      <c r="N37" s="318"/>
      <c r="O37" s="318"/>
      <c r="P37" s="260"/>
    </row>
    <row r="38" spans="1:16" s="278" customFormat="1" ht="11.25" customHeight="1">
      <c r="A38" s="319">
        <v>1</v>
      </c>
      <c r="B38" s="319"/>
      <c r="C38" s="279">
        <v>2</v>
      </c>
      <c r="D38" s="279">
        <v>3</v>
      </c>
      <c r="E38" s="279">
        <v>4</v>
      </c>
      <c r="F38" s="279">
        <v>5</v>
      </c>
      <c r="G38" s="279">
        <v>6</v>
      </c>
      <c r="H38" s="319">
        <v>7</v>
      </c>
      <c r="I38" s="319"/>
      <c r="J38" s="312">
        <v>8</v>
      </c>
      <c r="K38" s="313"/>
      <c r="L38" s="279">
        <v>9</v>
      </c>
      <c r="M38" s="279">
        <v>10</v>
      </c>
      <c r="N38" s="279">
        <v>11</v>
      </c>
      <c r="O38" s="279">
        <v>12</v>
      </c>
      <c r="P38" s="280"/>
    </row>
    <row r="39" spans="1:16" ht="30" customHeight="1">
      <c r="A39" s="320" t="s">
        <v>104</v>
      </c>
      <c r="B39" s="321"/>
      <c r="C39" s="12"/>
      <c r="D39" s="12"/>
      <c r="E39" s="12"/>
      <c r="F39" s="12" t="s">
        <v>91</v>
      </c>
      <c r="G39" s="12"/>
      <c r="H39" s="322" t="s">
        <v>99</v>
      </c>
      <c r="I39" s="323"/>
      <c r="J39" s="315" t="s">
        <v>100</v>
      </c>
      <c r="K39" s="316"/>
      <c r="L39" s="262">
        <v>744</v>
      </c>
      <c r="M39" s="263" t="s">
        <v>348</v>
      </c>
      <c r="N39" s="264"/>
      <c r="O39" s="265"/>
      <c r="P39" s="266"/>
    </row>
    <row r="40" spans="1:16" ht="30" customHeight="1">
      <c r="A40" s="320" t="s">
        <v>104</v>
      </c>
      <c r="B40" s="321"/>
      <c r="C40" s="12"/>
      <c r="D40" s="12"/>
      <c r="E40" s="12"/>
      <c r="F40" s="14" t="s">
        <v>92</v>
      </c>
      <c r="G40" s="12"/>
      <c r="H40" s="322" t="s">
        <v>99</v>
      </c>
      <c r="I40" s="323"/>
      <c r="J40" s="315" t="s">
        <v>100</v>
      </c>
      <c r="K40" s="316"/>
      <c r="L40" s="262">
        <v>744</v>
      </c>
      <c r="M40" s="263" t="s">
        <v>348</v>
      </c>
      <c r="N40" s="264"/>
      <c r="O40" s="265"/>
      <c r="P40" s="266"/>
    </row>
    <row r="41" spans="1:16" ht="15" hidden="1">
      <c r="A41" s="339"/>
      <c r="B41" s="341"/>
      <c r="C41" s="2"/>
      <c r="D41" s="2"/>
      <c r="E41" s="2"/>
      <c r="F41" s="2"/>
      <c r="G41" s="2"/>
      <c r="H41" s="339"/>
      <c r="I41" s="341"/>
      <c r="J41" s="339"/>
      <c r="K41" s="341"/>
      <c r="L41" s="2"/>
      <c r="M41" s="2"/>
      <c r="N41" s="2"/>
      <c r="O41" s="339"/>
      <c r="P41" s="386"/>
    </row>
    <row r="42" spans="1:16" ht="15" hidden="1">
      <c r="A42" s="339"/>
      <c r="B42" s="341"/>
      <c r="C42" s="2"/>
      <c r="D42" s="2"/>
      <c r="E42" s="2"/>
      <c r="F42" s="2"/>
      <c r="G42" s="2"/>
      <c r="H42" s="339"/>
      <c r="I42" s="341"/>
      <c r="J42" s="339"/>
      <c r="K42" s="341"/>
      <c r="L42" s="2"/>
      <c r="M42" s="2"/>
      <c r="N42" s="2"/>
      <c r="O42" s="339"/>
      <c r="P42" s="341"/>
    </row>
    <row r="43" spans="1:16" ht="15" hidden="1">
      <c r="A43" s="339"/>
      <c r="B43" s="341"/>
      <c r="C43" s="2"/>
      <c r="D43" s="2"/>
      <c r="E43" s="2"/>
      <c r="F43" s="2"/>
      <c r="G43" s="2"/>
      <c r="H43" s="339"/>
      <c r="I43" s="341"/>
      <c r="J43" s="339"/>
      <c r="K43" s="341"/>
      <c r="L43" s="2"/>
      <c r="M43" s="2"/>
      <c r="N43" s="2"/>
      <c r="O43" s="339"/>
      <c r="P43" s="341"/>
    </row>
    <row r="44" spans="1:16" ht="15" hidden="1">
      <c r="A44" s="339"/>
      <c r="B44" s="341"/>
      <c r="C44" s="2"/>
      <c r="D44" s="2"/>
      <c r="E44" s="2"/>
      <c r="F44" s="2"/>
      <c r="G44" s="2"/>
      <c r="H44" s="339"/>
      <c r="I44" s="341"/>
      <c r="J44" s="339"/>
      <c r="K44" s="341"/>
      <c r="L44" s="2"/>
      <c r="M44" s="2"/>
      <c r="N44" s="2"/>
      <c r="O44" s="339"/>
      <c r="P44" s="341"/>
    </row>
    <row r="45" spans="1:16" ht="15" hidden="1">
      <c r="A45" s="339"/>
      <c r="B45" s="341"/>
      <c r="C45" s="2"/>
      <c r="D45" s="2"/>
      <c r="E45" s="2"/>
      <c r="F45" s="2"/>
      <c r="G45" s="2"/>
      <c r="H45" s="339"/>
      <c r="I45" s="341"/>
      <c r="J45" s="339"/>
      <c r="K45" s="341"/>
      <c r="L45" s="2"/>
      <c r="M45" s="2"/>
      <c r="N45" s="2"/>
      <c r="O45" s="339"/>
      <c r="P45" s="341"/>
    </row>
    <row r="46" spans="1:16" ht="15" hidden="1">
      <c r="A46" s="339"/>
      <c r="B46" s="341"/>
      <c r="C46" s="2"/>
      <c r="D46" s="2"/>
      <c r="E46" s="2"/>
      <c r="F46" s="2"/>
      <c r="G46" s="2"/>
      <c r="H46" s="339"/>
      <c r="I46" s="341"/>
      <c r="J46" s="339"/>
      <c r="K46" s="341"/>
      <c r="L46" s="2"/>
      <c r="M46" s="2"/>
      <c r="N46" s="2"/>
      <c r="O46" s="339"/>
      <c r="P46" s="341"/>
    </row>
    <row r="47" ht="7.5" customHeight="1"/>
    <row r="48" ht="15">
      <c r="A48" s="5" t="s">
        <v>35</v>
      </c>
    </row>
    <row r="49" spans="1:4" ht="15">
      <c r="A49" s="5" t="s">
        <v>36</v>
      </c>
      <c r="C49" s="392"/>
      <c r="D49" s="392"/>
    </row>
    <row r="50" ht="4.5" customHeight="1">
      <c r="D50" s="267"/>
    </row>
    <row r="51" ht="15">
      <c r="A51" s="5" t="s">
        <v>45</v>
      </c>
    </row>
    <row r="52" ht="5.25" customHeight="1"/>
    <row r="53" spans="1:16" ht="44.25" customHeight="1">
      <c r="A53" s="359" t="s">
        <v>22</v>
      </c>
      <c r="B53" s="328"/>
      <c r="C53" s="351" t="s">
        <v>23</v>
      </c>
      <c r="D53" s="352"/>
      <c r="E53" s="353"/>
      <c r="F53" s="333" t="s">
        <v>25</v>
      </c>
      <c r="G53" s="333"/>
      <c r="H53" s="333" t="s">
        <v>37</v>
      </c>
      <c r="I53" s="333"/>
      <c r="J53" s="333"/>
      <c r="K53" s="333" t="s">
        <v>38</v>
      </c>
      <c r="L53" s="333"/>
      <c r="M53" s="333"/>
      <c r="N53" s="352" t="s">
        <v>39</v>
      </c>
      <c r="O53" s="352"/>
      <c r="P53" s="353"/>
    </row>
    <row r="54" spans="1:16" ht="42" customHeight="1">
      <c r="A54" s="329"/>
      <c r="B54" s="330"/>
      <c r="C54" s="332" t="s">
        <v>24</v>
      </c>
      <c r="D54" s="332" t="s">
        <v>24</v>
      </c>
      <c r="E54" s="332" t="s">
        <v>24</v>
      </c>
      <c r="F54" s="332" t="s">
        <v>24</v>
      </c>
      <c r="G54" s="332" t="s">
        <v>24</v>
      </c>
      <c r="H54" s="333" t="s">
        <v>31</v>
      </c>
      <c r="I54" s="333" t="s">
        <v>28</v>
      </c>
      <c r="J54" s="333"/>
      <c r="K54" s="357" t="s">
        <v>32</v>
      </c>
      <c r="L54" s="357" t="s">
        <v>33</v>
      </c>
      <c r="M54" s="359" t="s">
        <v>34</v>
      </c>
      <c r="N54" s="357" t="s">
        <v>32</v>
      </c>
      <c r="O54" s="357" t="s">
        <v>33</v>
      </c>
      <c r="P54" s="333" t="s">
        <v>34</v>
      </c>
    </row>
    <row r="55" spans="1:16" ht="13.5" customHeight="1">
      <c r="A55" s="327"/>
      <c r="B55" s="331"/>
      <c r="C55" s="332"/>
      <c r="D55" s="332"/>
      <c r="E55" s="332"/>
      <c r="F55" s="332"/>
      <c r="G55" s="332"/>
      <c r="H55" s="333"/>
      <c r="I55" s="10" t="s">
        <v>41</v>
      </c>
      <c r="J55" s="11" t="s">
        <v>29</v>
      </c>
      <c r="K55" s="358"/>
      <c r="L55" s="358"/>
      <c r="M55" s="327"/>
      <c r="N55" s="358"/>
      <c r="O55" s="358"/>
      <c r="P55" s="333"/>
    </row>
    <row r="56" spans="1:16" ht="15">
      <c r="A56" s="315">
        <v>1</v>
      </c>
      <c r="B56" s="316"/>
      <c r="C56" s="11">
        <v>2</v>
      </c>
      <c r="D56" s="11">
        <v>3</v>
      </c>
      <c r="E56" s="11">
        <v>4</v>
      </c>
      <c r="F56" s="11">
        <v>5</v>
      </c>
      <c r="G56" s="11">
        <v>6</v>
      </c>
      <c r="H56" s="11">
        <v>7</v>
      </c>
      <c r="I56" s="11">
        <v>8</v>
      </c>
      <c r="J56" s="11">
        <v>9</v>
      </c>
      <c r="K56" s="11">
        <v>10</v>
      </c>
      <c r="L56" s="11">
        <v>11</v>
      </c>
      <c r="M56" s="11">
        <v>12</v>
      </c>
      <c r="N56" s="11">
        <v>13</v>
      </c>
      <c r="O56" s="11">
        <v>14</v>
      </c>
      <c r="P56" s="11">
        <v>15</v>
      </c>
    </row>
    <row r="57" spans="1:16" ht="24.75" customHeight="1">
      <c r="A57" s="369" t="str">
        <f>A39</f>
        <v>000000000005630015211787000301000105006101101 </v>
      </c>
      <c r="B57" s="370"/>
      <c r="C57" s="12"/>
      <c r="D57" s="12"/>
      <c r="E57" s="12"/>
      <c r="F57" s="12" t="s">
        <v>91</v>
      </c>
      <c r="G57" s="12"/>
      <c r="H57" s="14" t="s">
        <v>93</v>
      </c>
      <c r="I57" s="13" t="s">
        <v>94</v>
      </c>
      <c r="J57" s="12">
        <v>792</v>
      </c>
      <c r="K57" s="12">
        <f>проверка!I4</f>
        <v>270</v>
      </c>
      <c r="L57" s="12"/>
      <c r="M57" s="12"/>
      <c r="N57" s="12">
        <f>проверка!I28</f>
        <v>26864.16</v>
      </c>
      <c r="O57" s="13"/>
      <c r="P57" s="13"/>
    </row>
    <row r="58" spans="1:16" ht="27" customHeight="1">
      <c r="A58" s="369" t="str">
        <f>A40</f>
        <v>000000000005630015211787000301000105006101101 </v>
      </c>
      <c r="B58" s="370"/>
      <c r="C58" s="12"/>
      <c r="D58" s="12"/>
      <c r="E58" s="12"/>
      <c r="F58" s="14" t="s">
        <v>92</v>
      </c>
      <c r="G58" s="12"/>
      <c r="H58" s="14" t="s">
        <v>93</v>
      </c>
      <c r="I58" s="13" t="s">
        <v>94</v>
      </c>
      <c r="J58" s="12">
        <v>792</v>
      </c>
      <c r="K58" s="12"/>
      <c r="L58" s="12"/>
      <c r="M58" s="12"/>
      <c r="N58" s="12"/>
      <c r="O58" s="13"/>
      <c r="P58" s="13"/>
    </row>
    <row r="59" spans="1:16" ht="15" hidden="1">
      <c r="A59" s="13"/>
      <c r="B59" s="13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  <c r="O59" s="268"/>
      <c r="P59" s="269"/>
    </row>
    <row r="60" spans="1:16" ht="15" hidden="1">
      <c r="A60" s="4"/>
      <c r="B60" s="4"/>
      <c r="C60" s="2"/>
      <c r="D60" s="2"/>
      <c r="E60" s="2"/>
      <c r="F60" s="2"/>
      <c r="G60" s="2"/>
      <c r="H60" s="4"/>
      <c r="I60" s="4"/>
      <c r="J60" s="2"/>
      <c r="K60" s="2"/>
      <c r="L60" s="2"/>
      <c r="M60" s="2"/>
      <c r="N60" s="2"/>
      <c r="O60" s="270"/>
      <c r="P60" s="271"/>
    </row>
    <row r="61" spans="1:16" ht="15" hidden="1">
      <c r="A61" s="4"/>
      <c r="B61" s="4"/>
      <c r="C61" s="2"/>
      <c r="D61" s="2"/>
      <c r="E61" s="2"/>
      <c r="F61" s="2"/>
      <c r="G61" s="2"/>
      <c r="H61" s="4"/>
      <c r="I61" s="4"/>
      <c r="J61" s="2"/>
      <c r="K61" s="2"/>
      <c r="L61" s="2"/>
      <c r="M61" s="2"/>
      <c r="N61" s="2"/>
      <c r="O61" s="270"/>
      <c r="P61" s="271"/>
    </row>
    <row r="62" spans="1:16" ht="15" hidden="1">
      <c r="A62" s="4"/>
      <c r="B62" s="4"/>
      <c r="C62" s="2"/>
      <c r="D62" s="2"/>
      <c r="E62" s="2"/>
      <c r="F62" s="2"/>
      <c r="G62" s="2"/>
      <c r="H62" s="4"/>
      <c r="I62" s="4"/>
      <c r="J62" s="2"/>
      <c r="K62" s="2"/>
      <c r="L62" s="2"/>
      <c r="M62" s="2"/>
      <c r="N62" s="2"/>
      <c r="O62" s="270"/>
      <c r="P62" s="271"/>
    </row>
    <row r="63" spans="1:16" ht="15" hidden="1">
      <c r="A63" s="4"/>
      <c r="B63" s="4"/>
      <c r="C63" s="2"/>
      <c r="D63" s="2"/>
      <c r="E63" s="2"/>
      <c r="F63" s="2"/>
      <c r="G63" s="2"/>
      <c r="H63" s="4"/>
      <c r="I63" s="4"/>
      <c r="J63" s="2"/>
      <c r="K63" s="2"/>
      <c r="L63" s="2"/>
      <c r="M63" s="2"/>
      <c r="N63" s="2"/>
      <c r="O63" s="270"/>
      <c r="P63" s="271"/>
    </row>
    <row r="64" spans="1:16" ht="15" hidden="1">
      <c r="A64" s="4"/>
      <c r="B64" s="4"/>
      <c r="C64" s="2"/>
      <c r="D64" s="2"/>
      <c r="E64" s="2"/>
      <c r="F64" s="2"/>
      <c r="G64" s="2"/>
      <c r="H64" s="4"/>
      <c r="I64" s="4"/>
      <c r="J64" s="2"/>
      <c r="K64" s="2"/>
      <c r="L64" s="2"/>
      <c r="M64" s="2"/>
      <c r="N64" s="2"/>
      <c r="O64" s="270"/>
      <c r="P64" s="271"/>
    </row>
    <row r="65" ht="6" customHeight="1"/>
    <row r="66" ht="15">
      <c r="A66" s="5" t="s">
        <v>40</v>
      </c>
    </row>
    <row r="67" spans="1:4" ht="15">
      <c r="A67" s="5" t="s">
        <v>36</v>
      </c>
      <c r="C67" s="392"/>
      <c r="D67" s="392"/>
    </row>
    <row r="68" ht="6" customHeight="1">
      <c r="D68" s="267"/>
    </row>
    <row r="69" ht="15">
      <c r="A69" s="5" t="s">
        <v>46</v>
      </c>
    </row>
    <row r="70" ht="8.25" customHeight="1"/>
    <row r="71" spans="1:16" ht="15">
      <c r="A71" s="347" t="s">
        <v>51</v>
      </c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</row>
    <row r="72" spans="1:16" ht="15">
      <c r="A72" s="254" t="s">
        <v>47</v>
      </c>
      <c r="B72" s="347" t="s">
        <v>48</v>
      </c>
      <c r="C72" s="347"/>
      <c r="D72" s="347"/>
      <c r="E72" s="254" t="s">
        <v>49</v>
      </c>
      <c r="F72" s="254" t="s">
        <v>50</v>
      </c>
      <c r="G72" s="347" t="s">
        <v>30</v>
      </c>
      <c r="H72" s="347"/>
      <c r="I72" s="347"/>
      <c r="J72" s="347"/>
      <c r="K72" s="347"/>
      <c r="L72" s="347"/>
      <c r="M72" s="347"/>
      <c r="N72" s="347"/>
      <c r="O72" s="347"/>
      <c r="P72" s="347"/>
    </row>
    <row r="73" spans="1:16" s="278" customFormat="1" ht="7.5">
      <c r="A73" s="277">
        <v>1</v>
      </c>
      <c r="B73" s="346">
        <v>2</v>
      </c>
      <c r="C73" s="346"/>
      <c r="D73" s="346"/>
      <c r="E73" s="277">
        <v>3</v>
      </c>
      <c r="F73" s="277">
        <v>4</v>
      </c>
      <c r="G73" s="346">
        <v>5</v>
      </c>
      <c r="H73" s="346"/>
      <c r="I73" s="346"/>
      <c r="J73" s="346"/>
      <c r="K73" s="346"/>
      <c r="L73" s="346"/>
      <c r="M73" s="346"/>
      <c r="N73" s="346"/>
      <c r="O73" s="346"/>
      <c r="P73" s="346"/>
    </row>
    <row r="74" spans="1:16" s="261" customFormat="1" ht="39" customHeight="1">
      <c r="A74" s="11" t="s">
        <v>350</v>
      </c>
      <c r="B74" s="351" t="s">
        <v>351</v>
      </c>
      <c r="C74" s="352"/>
      <c r="D74" s="353"/>
      <c r="E74" s="273">
        <v>42367</v>
      </c>
      <c r="F74" s="11">
        <v>384</v>
      </c>
      <c r="G74" s="354" t="s">
        <v>352</v>
      </c>
      <c r="H74" s="355"/>
      <c r="I74" s="355"/>
      <c r="J74" s="355"/>
      <c r="K74" s="355"/>
      <c r="L74" s="355"/>
      <c r="M74" s="355"/>
      <c r="N74" s="355"/>
      <c r="O74" s="355"/>
      <c r="P74" s="356"/>
    </row>
    <row r="75" spans="1:16" s="261" customFormat="1" ht="11.25">
      <c r="A75" s="12"/>
      <c r="B75" s="343"/>
      <c r="C75" s="343"/>
      <c r="D75" s="343"/>
      <c r="E75" s="274"/>
      <c r="F75" s="12"/>
      <c r="G75" s="344"/>
      <c r="H75" s="344"/>
      <c r="I75" s="344"/>
      <c r="J75" s="344"/>
      <c r="K75" s="344"/>
      <c r="L75" s="344"/>
      <c r="M75" s="344"/>
      <c r="N75" s="344"/>
      <c r="O75" s="344"/>
      <c r="P75" s="344"/>
    </row>
    <row r="76" spans="1:16" s="261" customFormat="1" ht="11.25" hidden="1">
      <c r="A76" s="12"/>
      <c r="B76" s="343"/>
      <c r="C76" s="343"/>
      <c r="D76" s="343"/>
      <c r="E76" s="274"/>
      <c r="F76" s="12"/>
      <c r="G76" s="362"/>
      <c r="H76" s="363"/>
      <c r="I76" s="363"/>
      <c r="J76" s="363"/>
      <c r="K76" s="363"/>
      <c r="L76" s="363"/>
      <c r="M76" s="363"/>
      <c r="N76" s="363"/>
      <c r="O76" s="363"/>
      <c r="P76" s="364"/>
    </row>
    <row r="77" spans="1:16" s="261" customFormat="1" ht="11.25" hidden="1">
      <c r="A77" s="12"/>
      <c r="B77" s="343"/>
      <c r="C77" s="343"/>
      <c r="D77" s="343"/>
      <c r="E77" s="12"/>
      <c r="F77" s="12"/>
      <c r="G77" s="344"/>
      <c r="H77" s="344"/>
      <c r="I77" s="344"/>
      <c r="J77" s="344"/>
      <c r="K77" s="344"/>
      <c r="L77" s="344"/>
      <c r="M77" s="344"/>
      <c r="N77" s="344"/>
      <c r="O77" s="344"/>
      <c r="P77" s="344"/>
    </row>
    <row r="78" ht="9.75" customHeight="1"/>
    <row r="79" ht="15">
      <c r="A79" s="5" t="s">
        <v>52</v>
      </c>
    </row>
    <row r="80" ht="4.5" customHeight="1"/>
    <row r="81" ht="15">
      <c r="A81" s="5" t="s">
        <v>53</v>
      </c>
    </row>
    <row r="82" spans="1:16" ht="42" customHeight="1">
      <c r="A82" s="348" t="s">
        <v>353</v>
      </c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</row>
    <row r="83" spans="1:12" ht="15">
      <c r="A83" s="345" t="s">
        <v>54</v>
      </c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</row>
    <row r="84" ht="3.75" customHeight="1"/>
    <row r="85" ht="15">
      <c r="A85" s="5" t="s">
        <v>347</v>
      </c>
    </row>
    <row r="87" spans="1:11" ht="15">
      <c r="A87" s="347" t="s">
        <v>56</v>
      </c>
      <c r="B87" s="347"/>
      <c r="C87" s="347"/>
      <c r="D87" s="343" t="s">
        <v>57</v>
      </c>
      <c r="E87" s="343"/>
      <c r="F87" s="343"/>
      <c r="G87" s="343"/>
      <c r="H87" s="347" t="s">
        <v>58</v>
      </c>
      <c r="I87" s="347"/>
      <c r="J87" s="347"/>
      <c r="K87" s="347"/>
    </row>
    <row r="88" spans="1:11" s="278" customFormat="1" ht="7.5">
      <c r="A88" s="346">
        <v>1</v>
      </c>
      <c r="B88" s="346"/>
      <c r="C88" s="346"/>
      <c r="D88" s="346">
        <v>2</v>
      </c>
      <c r="E88" s="346"/>
      <c r="F88" s="346"/>
      <c r="G88" s="346"/>
      <c r="H88" s="346">
        <v>3</v>
      </c>
      <c r="I88" s="346"/>
      <c r="J88" s="346"/>
      <c r="K88" s="346"/>
    </row>
    <row r="89" spans="1:11" s="257" customFormat="1" ht="12.75">
      <c r="A89" s="336" t="s">
        <v>360</v>
      </c>
      <c r="B89" s="337"/>
      <c r="C89" s="338"/>
      <c r="D89" s="336"/>
      <c r="E89" s="337"/>
      <c r="F89" s="337"/>
      <c r="G89" s="338"/>
      <c r="H89" s="336"/>
      <c r="I89" s="337"/>
      <c r="J89" s="337"/>
      <c r="K89" s="338"/>
    </row>
    <row r="90" spans="1:11" ht="15" hidden="1">
      <c r="A90" s="339"/>
      <c r="B90" s="340"/>
      <c r="C90" s="341"/>
      <c r="D90" s="339"/>
      <c r="E90" s="340"/>
      <c r="F90" s="340"/>
      <c r="G90" s="341"/>
      <c r="H90" s="339"/>
      <c r="I90" s="340"/>
      <c r="J90" s="340"/>
      <c r="K90" s="341"/>
    </row>
    <row r="91" spans="1:11" ht="15" hidden="1">
      <c r="A91" s="339"/>
      <c r="B91" s="340"/>
      <c r="C91" s="341"/>
      <c r="D91" s="339"/>
      <c r="E91" s="340"/>
      <c r="F91" s="340"/>
      <c r="G91" s="341"/>
      <c r="H91" s="339"/>
      <c r="I91" s="340"/>
      <c r="J91" s="340"/>
      <c r="K91" s="341"/>
    </row>
    <row r="92" spans="1:16" ht="15">
      <c r="A92" s="314" t="s">
        <v>356</v>
      </c>
      <c r="B92" s="314"/>
      <c r="C92" s="314"/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</row>
    <row r="93" ht="7.5" customHeight="1"/>
    <row r="94" spans="1:16" ht="15">
      <c r="A94" s="5" t="s">
        <v>13</v>
      </c>
      <c r="E94" s="360" t="s">
        <v>89</v>
      </c>
      <c r="F94" s="360"/>
      <c r="G94" s="360"/>
      <c r="H94" s="360"/>
      <c r="I94" s="360"/>
      <c r="J94" s="360"/>
      <c r="K94" s="360"/>
      <c r="L94" s="360"/>
      <c r="M94" s="281"/>
      <c r="N94" s="281" t="s">
        <v>15</v>
      </c>
      <c r="O94" s="347" t="s">
        <v>102</v>
      </c>
      <c r="P94" s="347"/>
    </row>
    <row r="95" spans="1:16" ht="15">
      <c r="A95" s="361" t="s">
        <v>101</v>
      </c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281"/>
      <c r="N95" s="281" t="s">
        <v>16</v>
      </c>
      <c r="O95" s="347"/>
      <c r="P95" s="347"/>
    </row>
    <row r="96" spans="1:16" ht="15">
      <c r="A96" s="5" t="s">
        <v>14</v>
      </c>
      <c r="M96" s="281"/>
      <c r="N96" s="281" t="s">
        <v>17</v>
      </c>
      <c r="O96" s="347"/>
      <c r="P96" s="347"/>
    </row>
    <row r="97" spans="1:14" ht="15">
      <c r="A97" s="361" t="s">
        <v>90</v>
      </c>
      <c r="B97" s="361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</row>
    <row r="98" spans="1:14" ht="4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ht="15">
      <c r="A99" s="5" t="s">
        <v>18</v>
      </c>
    </row>
    <row r="100" ht="5.25" customHeight="1"/>
    <row r="101" ht="15">
      <c r="A101" s="5" t="s">
        <v>21</v>
      </c>
    </row>
    <row r="102" ht="7.5" customHeight="1"/>
    <row r="103" spans="1:16" ht="33.75" customHeight="1">
      <c r="A103" s="333" t="s">
        <v>22</v>
      </c>
      <c r="B103" s="333"/>
      <c r="C103" s="351" t="s">
        <v>23</v>
      </c>
      <c r="D103" s="352"/>
      <c r="E103" s="353"/>
      <c r="F103" s="324" t="s">
        <v>25</v>
      </c>
      <c r="G103" s="324"/>
      <c r="H103" s="333" t="s">
        <v>26</v>
      </c>
      <c r="I103" s="333"/>
      <c r="J103" s="333"/>
      <c r="K103" s="333"/>
      <c r="L103" s="333"/>
      <c r="M103" s="351" t="s">
        <v>27</v>
      </c>
      <c r="N103" s="352"/>
      <c r="O103" s="353"/>
      <c r="P103" s="259"/>
    </row>
    <row r="104" spans="1:16" s="261" customFormat="1" ht="24.75" customHeight="1">
      <c r="A104" s="333"/>
      <c r="B104" s="333"/>
      <c r="C104" s="332" t="s">
        <v>24</v>
      </c>
      <c r="D104" s="332" t="s">
        <v>24</v>
      </c>
      <c r="E104" s="332" t="s">
        <v>24</v>
      </c>
      <c r="F104" s="332" t="s">
        <v>24</v>
      </c>
      <c r="G104" s="332" t="s">
        <v>24</v>
      </c>
      <c r="H104" s="333" t="s">
        <v>31</v>
      </c>
      <c r="I104" s="333"/>
      <c r="J104" s="333" t="s">
        <v>28</v>
      </c>
      <c r="K104" s="333"/>
      <c r="L104" s="333"/>
      <c r="M104" s="317" t="s">
        <v>32</v>
      </c>
      <c r="N104" s="317" t="s">
        <v>33</v>
      </c>
      <c r="O104" s="317" t="s">
        <v>34</v>
      </c>
      <c r="P104" s="260"/>
    </row>
    <row r="105" spans="1:16" s="261" customFormat="1" ht="16.5" customHeight="1">
      <c r="A105" s="333"/>
      <c r="B105" s="333"/>
      <c r="C105" s="332"/>
      <c r="D105" s="332"/>
      <c r="E105" s="332"/>
      <c r="F105" s="332"/>
      <c r="G105" s="332"/>
      <c r="H105" s="333"/>
      <c r="I105" s="333"/>
      <c r="J105" s="325" t="s">
        <v>30</v>
      </c>
      <c r="K105" s="326"/>
      <c r="L105" s="11" t="s">
        <v>29</v>
      </c>
      <c r="M105" s="318"/>
      <c r="N105" s="318"/>
      <c r="O105" s="318"/>
      <c r="P105" s="260"/>
    </row>
    <row r="106" spans="1:16" s="278" customFormat="1" ht="7.5">
      <c r="A106" s="319">
        <v>1</v>
      </c>
      <c r="B106" s="319"/>
      <c r="C106" s="279">
        <v>2</v>
      </c>
      <c r="D106" s="279">
        <v>3</v>
      </c>
      <c r="E106" s="279">
        <v>4</v>
      </c>
      <c r="F106" s="279">
        <v>5</v>
      </c>
      <c r="G106" s="279">
        <v>6</v>
      </c>
      <c r="H106" s="319">
        <v>7</v>
      </c>
      <c r="I106" s="319"/>
      <c r="J106" s="312">
        <v>8</v>
      </c>
      <c r="K106" s="313"/>
      <c r="L106" s="279">
        <v>9</v>
      </c>
      <c r="M106" s="279">
        <v>10</v>
      </c>
      <c r="N106" s="279">
        <v>11</v>
      </c>
      <c r="O106" s="279">
        <v>12</v>
      </c>
      <c r="P106" s="280"/>
    </row>
    <row r="107" spans="1:16" ht="30" customHeight="1">
      <c r="A107" s="320" t="s">
        <v>105</v>
      </c>
      <c r="B107" s="321"/>
      <c r="C107" s="12"/>
      <c r="D107" s="12"/>
      <c r="E107" s="12"/>
      <c r="F107" s="12" t="s">
        <v>91</v>
      </c>
      <c r="G107" s="12"/>
      <c r="H107" s="322" t="s">
        <v>99</v>
      </c>
      <c r="I107" s="323"/>
      <c r="J107" s="315" t="s">
        <v>100</v>
      </c>
      <c r="K107" s="316"/>
      <c r="L107" s="262">
        <v>744</v>
      </c>
      <c r="M107" s="263" t="s">
        <v>348</v>
      </c>
      <c r="N107" s="12"/>
      <c r="O107" s="272"/>
      <c r="P107" s="266"/>
    </row>
    <row r="108" spans="1:16" ht="30" customHeight="1">
      <c r="A108" s="320" t="s">
        <v>105</v>
      </c>
      <c r="B108" s="321"/>
      <c r="C108" s="12"/>
      <c r="D108" s="12"/>
      <c r="E108" s="12"/>
      <c r="F108" s="14" t="s">
        <v>92</v>
      </c>
      <c r="G108" s="12"/>
      <c r="H108" s="322" t="s">
        <v>99</v>
      </c>
      <c r="I108" s="323"/>
      <c r="J108" s="315" t="s">
        <v>100</v>
      </c>
      <c r="K108" s="316"/>
      <c r="L108" s="262">
        <v>744</v>
      </c>
      <c r="M108" s="263" t="s">
        <v>348</v>
      </c>
      <c r="N108" s="12"/>
      <c r="O108" s="272"/>
      <c r="P108" s="266"/>
    </row>
    <row r="109" spans="1:16" ht="15" hidden="1">
      <c r="A109" s="339"/>
      <c r="B109" s="341"/>
      <c r="C109" s="2"/>
      <c r="D109" s="2"/>
      <c r="E109" s="2"/>
      <c r="F109" s="2"/>
      <c r="G109" s="2"/>
      <c r="H109" s="339"/>
      <c r="I109" s="341"/>
      <c r="J109" s="339"/>
      <c r="K109" s="341"/>
      <c r="L109" s="2"/>
      <c r="M109" s="2"/>
      <c r="N109" s="2"/>
      <c r="O109" s="339"/>
      <c r="P109" s="341"/>
    </row>
    <row r="110" spans="1:16" ht="15" hidden="1">
      <c r="A110" s="339"/>
      <c r="B110" s="341"/>
      <c r="C110" s="2"/>
      <c r="D110" s="2"/>
      <c r="E110" s="2"/>
      <c r="F110" s="2"/>
      <c r="G110" s="2"/>
      <c r="H110" s="339"/>
      <c r="I110" s="341"/>
      <c r="J110" s="339"/>
      <c r="K110" s="341"/>
      <c r="L110" s="2"/>
      <c r="M110" s="2"/>
      <c r="N110" s="2"/>
      <c r="O110" s="339"/>
      <c r="P110" s="341"/>
    </row>
    <row r="111" spans="1:16" ht="15" hidden="1">
      <c r="A111" s="339"/>
      <c r="B111" s="341"/>
      <c r="C111" s="2"/>
      <c r="D111" s="2"/>
      <c r="E111" s="2"/>
      <c r="F111" s="2"/>
      <c r="G111" s="2"/>
      <c r="H111" s="339"/>
      <c r="I111" s="341"/>
      <c r="J111" s="339"/>
      <c r="K111" s="341"/>
      <c r="L111" s="2"/>
      <c r="M111" s="2"/>
      <c r="N111" s="2"/>
      <c r="O111" s="339"/>
      <c r="P111" s="341"/>
    </row>
    <row r="112" spans="1:16" ht="15" hidden="1">
      <c r="A112" s="339"/>
      <c r="B112" s="341"/>
      <c r="C112" s="2"/>
      <c r="D112" s="2"/>
      <c r="E112" s="2"/>
      <c r="F112" s="2"/>
      <c r="G112" s="2"/>
      <c r="H112" s="339"/>
      <c r="I112" s="341"/>
      <c r="J112" s="339"/>
      <c r="K112" s="341"/>
      <c r="L112" s="2"/>
      <c r="M112" s="2"/>
      <c r="N112" s="2"/>
      <c r="O112" s="339"/>
      <c r="P112" s="341"/>
    </row>
    <row r="113" spans="1:16" ht="15" hidden="1">
      <c r="A113" s="339"/>
      <c r="B113" s="341"/>
      <c r="C113" s="2"/>
      <c r="D113" s="2"/>
      <c r="E113" s="2"/>
      <c r="F113" s="2"/>
      <c r="G113" s="2"/>
      <c r="H113" s="339"/>
      <c r="I113" s="341"/>
      <c r="J113" s="339"/>
      <c r="K113" s="341"/>
      <c r="L113" s="2"/>
      <c r="M113" s="2"/>
      <c r="N113" s="2"/>
      <c r="O113" s="339"/>
      <c r="P113" s="341"/>
    </row>
    <row r="114" spans="1:16" ht="15" hidden="1">
      <c r="A114" s="339"/>
      <c r="B114" s="341"/>
      <c r="C114" s="2"/>
      <c r="D114" s="2"/>
      <c r="E114" s="2"/>
      <c r="F114" s="2"/>
      <c r="G114" s="2"/>
      <c r="H114" s="339"/>
      <c r="I114" s="341"/>
      <c r="J114" s="339"/>
      <c r="K114" s="341"/>
      <c r="L114" s="2"/>
      <c r="M114" s="2"/>
      <c r="N114" s="2"/>
      <c r="O114" s="339"/>
      <c r="P114" s="341"/>
    </row>
    <row r="115" ht="7.5" customHeight="1"/>
    <row r="116" ht="15">
      <c r="A116" s="5" t="s">
        <v>35</v>
      </c>
    </row>
    <row r="117" spans="1:4" ht="15">
      <c r="A117" s="5" t="s">
        <v>36</v>
      </c>
      <c r="C117" s="347"/>
      <c r="D117" s="347"/>
    </row>
    <row r="118" ht="3" customHeight="1">
      <c r="D118" s="267"/>
    </row>
    <row r="119" ht="15">
      <c r="A119" s="5" t="s">
        <v>45</v>
      </c>
    </row>
    <row r="120" ht="5.25" customHeight="1"/>
    <row r="121" spans="1:16" ht="30.75" customHeight="1">
      <c r="A121" s="359" t="s">
        <v>22</v>
      </c>
      <c r="B121" s="328"/>
      <c r="C121" s="351" t="s">
        <v>23</v>
      </c>
      <c r="D121" s="352"/>
      <c r="E121" s="353"/>
      <c r="F121" s="324" t="s">
        <v>25</v>
      </c>
      <c r="G121" s="324"/>
      <c r="H121" s="333" t="s">
        <v>37</v>
      </c>
      <c r="I121" s="333"/>
      <c r="J121" s="333"/>
      <c r="K121" s="333" t="s">
        <v>38</v>
      </c>
      <c r="L121" s="333"/>
      <c r="M121" s="333"/>
      <c r="N121" s="352" t="s">
        <v>39</v>
      </c>
      <c r="O121" s="352"/>
      <c r="P121" s="353"/>
    </row>
    <row r="122" spans="1:16" ht="42" customHeight="1">
      <c r="A122" s="329"/>
      <c r="B122" s="330"/>
      <c r="C122" s="332" t="s">
        <v>24</v>
      </c>
      <c r="D122" s="332" t="s">
        <v>24</v>
      </c>
      <c r="E122" s="332" t="s">
        <v>24</v>
      </c>
      <c r="F122" s="332" t="s">
        <v>24</v>
      </c>
      <c r="G122" s="332" t="s">
        <v>24</v>
      </c>
      <c r="H122" s="333" t="s">
        <v>31</v>
      </c>
      <c r="I122" s="333" t="s">
        <v>28</v>
      </c>
      <c r="J122" s="333"/>
      <c r="K122" s="357" t="s">
        <v>32</v>
      </c>
      <c r="L122" s="357" t="s">
        <v>33</v>
      </c>
      <c r="M122" s="359" t="s">
        <v>34</v>
      </c>
      <c r="N122" s="357" t="s">
        <v>32</v>
      </c>
      <c r="O122" s="357" t="s">
        <v>33</v>
      </c>
      <c r="P122" s="333" t="s">
        <v>34</v>
      </c>
    </row>
    <row r="123" spans="1:16" ht="13.5" customHeight="1">
      <c r="A123" s="327"/>
      <c r="B123" s="331"/>
      <c r="C123" s="332"/>
      <c r="D123" s="332"/>
      <c r="E123" s="332"/>
      <c r="F123" s="332"/>
      <c r="G123" s="332"/>
      <c r="H123" s="333"/>
      <c r="I123" s="10" t="s">
        <v>41</v>
      </c>
      <c r="J123" s="11" t="s">
        <v>29</v>
      </c>
      <c r="K123" s="358"/>
      <c r="L123" s="358"/>
      <c r="M123" s="327"/>
      <c r="N123" s="358"/>
      <c r="O123" s="358"/>
      <c r="P123" s="333"/>
    </row>
    <row r="124" spans="1:16" s="278" customFormat="1" ht="7.5">
      <c r="A124" s="349">
        <v>1</v>
      </c>
      <c r="B124" s="350"/>
      <c r="C124" s="279">
        <v>2</v>
      </c>
      <c r="D124" s="279">
        <v>3</v>
      </c>
      <c r="E124" s="279">
        <v>4</v>
      </c>
      <c r="F124" s="279">
        <v>5</v>
      </c>
      <c r="G124" s="279">
        <v>6</v>
      </c>
      <c r="H124" s="279">
        <v>7</v>
      </c>
      <c r="I124" s="279">
        <v>8</v>
      </c>
      <c r="J124" s="279">
        <v>9</v>
      </c>
      <c r="K124" s="279">
        <v>10</v>
      </c>
      <c r="L124" s="279">
        <v>11</v>
      </c>
      <c r="M124" s="279">
        <v>12</v>
      </c>
      <c r="N124" s="279">
        <v>13</v>
      </c>
      <c r="O124" s="279">
        <v>14</v>
      </c>
      <c r="P124" s="279">
        <v>15</v>
      </c>
    </row>
    <row r="125" spans="1:16" ht="25.5" customHeight="1">
      <c r="A125" s="369" t="str">
        <f>A107</f>
        <v>000000000005630015211791000301000101004101101 </v>
      </c>
      <c r="B125" s="370"/>
      <c r="C125" s="12"/>
      <c r="D125" s="12"/>
      <c r="E125" s="12"/>
      <c r="F125" s="12" t="s">
        <v>91</v>
      </c>
      <c r="G125" s="12"/>
      <c r="H125" s="14" t="s">
        <v>93</v>
      </c>
      <c r="I125" s="13" t="s">
        <v>94</v>
      </c>
      <c r="J125" s="12">
        <v>792</v>
      </c>
      <c r="K125" s="12">
        <f>проверка!J4</f>
        <v>273</v>
      </c>
      <c r="L125" s="12"/>
      <c r="M125" s="12"/>
      <c r="N125" s="12">
        <f>проверка!J28</f>
        <v>36982.560000000005</v>
      </c>
      <c r="O125" s="13"/>
      <c r="P125" s="13"/>
    </row>
    <row r="126" spans="1:16" ht="23.25">
      <c r="A126" s="369" t="str">
        <f>A108</f>
        <v>000000000005630015211791000301000101004101101 </v>
      </c>
      <c r="B126" s="370"/>
      <c r="C126" s="12"/>
      <c r="D126" s="12"/>
      <c r="E126" s="12"/>
      <c r="F126" s="14" t="s">
        <v>92</v>
      </c>
      <c r="G126" s="12"/>
      <c r="H126" s="14" t="s">
        <v>93</v>
      </c>
      <c r="I126" s="13" t="s">
        <v>94</v>
      </c>
      <c r="J126" s="12">
        <v>792</v>
      </c>
      <c r="K126" s="12"/>
      <c r="L126" s="12"/>
      <c r="M126" s="12"/>
      <c r="N126" s="12"/>
      <c r="O126" s="13"/>
      <c r="P126" s="13"/>
    </row>
    <row r="127" spans="1:16" ht="15" hidden="1">
      <c r="A127" s="13"/>
      <c r="B127" s="13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  <c r="O127" s="268"/>
      <c r="P127" s="269"/>
    </row>
    <row r="128" spans="1:16" ht="15" hidden="1">
      <c r="A128" s="4"/>
      <c r="B128" s="4"/>
      <c r="C128" s="2"/>
      <c r="D128" s="2"/>
      <c r="E128" s="2"/>
      <c r="F128" s="2"/>
      <c r="G128" s="2"/>
      <c r="H128" s="4"/>
      <c r="I128" s="4"/>
      <c r="J128" s="2"/>
      <c r="K128" s="2"/>
      <c r="L128" s="2"/>
      <c r="M128" s="2"/>
      <c r="N128" s="2"/>
      <c r="O128" s="270"/>
      <c r="P128" s="271"/>
    </row>
    <row r="129" spans="1:16" ht="15" hidden="1">
      <c r="A129" s="4"/>
      <c r="B129" s="4"/>
      <c r="C129" s="2"/>
      <c r="D129" s="2"/>
      <c r="E129" s="2"/>
      <c r="F129" s="2"/>
      <c r="G129" s="2"/>
      <c r="H129" s="4"/>
      <c r="I129" s="4"/>
      <c r="J129" s="2"/>
      <c r="K129" s="2"/>
      <c r="L129" s="2"/>
      <c r="M129" s="2"/>
      <c r="N129" s="2"/>
      <c r="O129" s="270"/>
      <c r="P129" s="271"/>
    </row>
    <row r="130" spans="1:16" ht="15" hidden="1">
      <c r="A130" s="4"/>
      <c r="B130" s="4"/>
      <c r="C130" s="2"/>
      <c r="D130" s="2"/>
      <c r="E130" s="2"/>
      <c r="F130" s="2"/>
      <c r="G130" s="2"/>
      <c r="H130" s="4"/>
      <c r="I130" s="4"/>
      <c r="J130" s="2"/>
      <c r="K130" s="2"/>
      <c r="L130" s="2"/>
      <c r="M130" s="2"/>
      <c r="N130" s="2"/>
      <c r="O130" s="270"/>
      <c r="P130" s="271"/>
    </row>
    <row r="131" spans="1:16" ht="15" hidden="1">
      <c r="A131" s="4"/>
      <c r="B131" s="4"/>
      <c r="C131" s="2"/>
      <c r="D131" s="2"/>
      <c r="E131" s="2"/>
      <c r="F131" s="2"/>
      <c r="G131" s="2"/>
      <c r="H131" s="4"/>
      <c r="I131" s="4"/>
      <c r="J131" s="2"/>
      <c r="K131" s="2"/>
      <c r="L131" s="2"/>
      <c r="M131" s="2"/>
      <c r="N131" s="2"/>
      <c r="O131" s="270"/>
      <c r="P131" s="271"/>
    </row>
    <row r="132" spans="1:16" ht="15" hidden="1">
      <c r="A132" s="4"/>
      <c r="B132" s="4"/>
      <c r="C132" s="2"/>
      <c r="D132" s="2"/>
      <c r="E132" s="2"/>
      <c r="F132" s="2"/>
      <c r="G132" s="2"/>
      <c r="H132" s="4"/>
      <c r="I132" s="4"/>
      <c r="J132" s="2"/>
      <c r="K132" s="2"/>
      <c r="L132" s="2"/>
      <c r="M132" s="2"/>
      <c r="N132" s="2"/>
      <c r="O132" s="270"/>
      <c r="P132" s="271"/>
    </row>
    <row r="133" ht="6" customHeight="1"/>
    <row r="134" ht="15">
      <c r="A134" s="5" t="s">
        <v>40</v>
      </c>
    </row>
    <row r="135" spans="1:4" ht="15">
      <c r="A135" s="5" t="s">
        <v>36</v>
      </c>
      <c r="C135" s="347"/>
      <c r="D135" s="347"/>
    </row>
    <row r="136" ht="2.25" customHeight="1">
      <c r="D136" s="267"/>
    </row>
    <row r="137" ht="15">
      <c r="A137" s="5" t="s">
        <v>46</v>
      </c>
    </row>
    <row r="138" ht="3" customHeight="1"/>
    <row r="139" spans="1:16" ht="15">
      <c r="A139" s="347" t="s">
        <v>51</v>
      </c>
      <c r="B139" s="347"/>
      <c r="C139" s="347"/>
      <c r="D139" s="347"/>
      <c r="E139" s="347"/>
      <c r="F139" s="347"/>
      <c r="G139" s="347"/>
      <c r="H139" s="347"/>
      <c r="I139" s="347"/>
      <c r="J139" s="347"/>
      <c r="K139" s="347"/>
      <c r="L139" s="347"/>
      <c r="M139" s="347"/>
      <c r="N139" s="347"/>
      <c r="O139" s="347"/>
      <c r="P139" s="347"/>
    </row>
    <row r="140" spans="1:16" ht="15">
      <c r="A140" s="254" t="s">
        <v>47</v>
      </c>
      <c r="B140" s="347" t="s">
        <v>48</v>
      </c>
      <c r="C140" s="347"/>
      <c r="D140" s="347"/>
      <c r="E140" s="254" t="s">
        <v>49</v>
      </c>
      <c r="F140" s="254" t="s">
        <v>50</v>
      </c>
      <c r="G140" s="347" t="s">
        <v>30</v>
      </c>
      <c r="H140" s="347"/>
      <c r="I140" s="347"/>
      <c r="J140" s="347"/>
      <c r="K140" s="347"/>
      <c r="L140" s="347"/>
      <c r="M140" s="347"/>
      <c r="N140" s="347"/>
      <c r="O140" s="347"/>
      <c r="P140" s="347"/>
    </row>
    <row r="141" spans="1:16" s="278" customFormat="1" ht="7.5">
      <c r="A141" s="277">
        <v>1</v>
      </c>
      <c r="B141" s="346">
        <v>2</v>
      </c>
      <c r="C141" s="346"/>
      <c r="D141" s="346"/>
      <c r="E141" s="277">
        <v>3</v>
      </c>
      <c r="F141" s="277">
        <v>4</v>
      </c>
      <c r="G141" s="346">
        <v>5</v>
      </c>
      <c r="H141" s="346"/>
      <c r="I141" s="346"/>
      <c r="J141" s="346"/>
      <c r="K141" s="346"/>
      <c r="L141" s="346"/>
      <c r="M141" s="346"/>
      <c r="N141" s="346"/>
      <c r="O141" s="346"/>
      <c r="P141" s="346"/>
    </row>
    <row r="142" spans="1:16" s="261" customFormat="1" ht="42.75" customHeight="1">
      <c r="A142" s="11" t="s">
        <v>350</v>
      </c>
      <c r="B142" s="351" t="s">
        <v>351</v>
      </c>
      <c r="C142" s="352"/>
      <c r="D142" s="353"/>
      <c r="E142" s="273">
        <v>42367</v>
      </c>
      <c r="F142" s="11">
        <v>384</v>
      </c>
      <c r="G142" s="354" t="s">
        <v>352</v>
      </c>
      <c r="H142" s="355"/>
      <c r="I142" s="355"/>
      <c r="J142" s="355"/>
      <c r="K142" s="355"/>
      <c r="L142" s="355"/>
      <c r="M142" s="355"/>
      <c r="N142" s="355"/>
      <c r="O142" s="355"/>
      <c r="P142" s="356"/>
    </row>
    <row r="143" spans="1:16" s="261" customFormat="1" ht="11.25" hidden="1">
      <c r="A143" s="12"/>
      <c r="B143" s="343"/>
      <c r="C143" s="343"/>
      <c r="D143" s="343"/>
      <c r="E143" s="274"/>
      <c r="F143" s="12"/>
      <c r="G143" s="344"/>
      <c r="H143" s="344"/>
      <c r="I143" s="344"/>
      <c r="J143" s="344"/>
      <c r="K143" s="344"/>
      <c r="L143" s="344"/>
      <c r="M143" s="344"/>
      <c r="N143" s="344"/>
      <c r="O143" s="344"/>
      <c r="P143" s="344"/>
    </row>
    <row r="144" spans="1:16" s="261" customFormat="1" ht="11.25" hidden="1">
      <c r="A144" s="12"/>
      <c r="B144" s="343"/>
      <c r="C144" s="343"/>
      <c r="D144" s="343"/>
      <c r="E144" s="274"/>
      <c r="F144" s="12"/>
      <c r="G144" s="362"/>
      <c r="H144" s="363"/>
      <c r="I144" s="363"/>
      <c r="J144" s="363"/>
      <c r="K144" s="363"/>
      <c r="L144" s="363"/>
      <c r="M144" s="363"/>
      <c r="N144" s="363"/>
      <c r="O144" s="363"/>
      <c r="P144" s="364"/>
    </row>
    <row r="145" spans="1:16" s="261" customFormat="1" ht="11.25" hidden="1">
      <c r="A145" s="12"/>
      <c r="B145" s="343"/>
      <c r="C145" s="343"/>
      <c r="D145" s="343"/>
      <c r="E145" s="12"/>
      <c r="F145" s="12"/>
      <c r="G145" s="344"/>
      <c r="H145" s="344"/>
      <c r="I145" s="344"/>
      <c r="J145" s="344"/>
      <c r="K145" s="344"/>
      <c r="L145" s="344"/>
      <c r="M145" s="344"/>
      <c r="N145" s="344"/>
      <c r="O145" s="344"/>
      <c r="P145" s="344"/>
    </row>
    <row r="146" ht="9.75" customHeight="1" hidden="1"/>
    <row r="147" ht="15">
      <c r="A147" s="5" t="s">
        <v>52</v>
      </c>
    </row>
    <row r="148" ht="8.25" customHeight="1"/>
    <row r="149" ht="15">
      <c r="A149" s="5" t="s">
        <v>53</v>
      </c>
    </row>
    <row r="150" spans="1:16" ht="44.25" customHeight="1">
      <c r="A150" s="348" t="s">
        <v>349</v>
      </c>
      <c r="B150" s="348"/>
      <c r="C150" s="348"/>
      <c r="D150" s="348"/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  <row r="151" spans="1:12" ht="15">
      <c r="A151" s="345" t="s">
        <v>54</v>
      </c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</row>
    <row r="152" ht="3.75" customHeight="1"/>
    <row r="153" ht="15">
      <c r="A153" s="5" t="s">
        <v>55</v>
      </c>
    </row>
    <row r="155" spans="1:11" ht="15">
      <c r="A155" s="347" t="s">
        <v>56</v>
      </c>
      <c r="B155" s="347"/>
      <c r="C155" s="347"/>
      <c r="D155" s="347" t="s">
        <v>57</v>
      </c>
      <c r="E155" s="347"/>
      <c r="F155" s="347"/>
      <c r="G155" s="347"/>
      <c r="H155" s="347" t="s">
        <v>58</v>
      </c>
      <c r="I155" s="347"/>
      <c r="J155" s="347"/>
      <c r="K155" s="347"/>
    </row>
    <row r="156" spans="1:11" s="278" customFormat="1" ht="7.5">
      <c r="A156" s="346">
        <v>1</v>
      </c>
      <c r="B156" s="346"/>
      <c r="C156" s="346"/>
      <c r="D156" s="346">
        <v>2</v>
      </c>
      <c r="E156" s="346"/>
      <c r="F156" s="346"/>
      <c r="G156" s="346"/>
      <c r="H156" s="346">
        <v>3</v>
      </c>
      <c r="I156" s="346"/>
      <c r="J156" s="346"/>
      <c r="K156" s="346"/>
    </row>
    <row r="157" spans="1:11" ht="15">
      <c r="A157" s="336" t="s">
        <v>360</v>
      </c>
      <c r="B157" s="337"/>
      <c r="C157" s="338"/>
      <c r="D157" s="339"/>
      <c r="E157" s="340"/>
      <c r="F157" s="340"/>
      <c r="G157" s="341"/>
      <c r="H157" s="339"/>
      <c r="I157" s="340"/>
      <c r="J157" s="340"/>
      <c r="K157" s="341"/>
    </row>
    <row r="158" spans="1:11" ht="15" hidden="1">
      <c r="A158" s="339"/>
      <c r="B158" s="340"/>
      <c r="C158" s="341"/>
      <c r="D158" s="339"/>
      <c r="E158" s="340"/>
      <c r="F158" s="340"/>
      <c r="G158" s="341"/>
      <c r="H158" s="339"/>
      <c r="I158" s="340"/>
      <c r="J158" s="340"/>
      <c r="K158" s="341"/>
    </row>
    <row r="159" spans="1:11" ht="15" hidden="1">
      <c r="A159" s="339"/>
      <c r="B159" s="340"/>
      <c r="C159" s="341"/>
      <c r="D159" s="339"/>
      <c r="E159" s="340"/>
      <c r="F159" s="340"/>
      <c r="G159" s="341"/>
      <c r="H159" s="339"/>
      <c r="I159" s="340"/>
      <c r="J159" s="340"/>
      <c r="K159" s="341"/>
    </row>
    <row r="160" spans="1:16" ht="15">
      <c r="A160" s="314" t="s">
        <v>357</v>
      </c>
      <c r="B160" s="314"/>
      <c r="C160" s="314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</row>
    <row r="161" ht="7.5" customHeight="1"/>
    <row r="162" spans="1:16" ht="15">
      <c r="A162" s="5" t="s">
        <v>13</v>
      </c>
      <c r="E162" s="360" t="s">
        <v>89</v>
      </c>
      <c r="F162" s="360"/>
      <c r="G162" s="360"/>
      <c r="H162" s="360"/>
      <c r="I162" s="360"/>
      <c r="J162" s="360"/>
      <c r="K162" s="360"/>
      <c r="L162" s="360"/>
      <c r="M162" s="281"/>
      <c r="N162" s="281" t="s">
        <v>15</v>
      </c>
      <c r="O162" s="347" t="s">
        <v>108</v>
      </c>
      <c r="P162" s="347"/>
    </row>
    <row r="163" spans="1:16" ht="15">
      <c r="A163" s="361" t="s">
        <v>107</v>
      </c>
      <c r="B163" s="361"/>
      <c r="C163" s="361"/>
      <c r="D163" s="361"/>
      <c r="E163" s="361"/>
      <c r="F163" s="361"/>
      <c r="G163" s="361"/>
      <c r="H163" s="361"/>
      <c r="I163" s="361"/>
      <c r="J163" s="361"/>
      <c r="K163" s="361"/>
      <c r="L163" s="361"/>
      <c r="M163" s="281"/>
      <c r="N163" s="281" t="s">
        <v>16</v>
      </c>
      <c r="O163" s="347"/>
      <c r="P163" s="347"/>
    </row>
    <row r="164" spans="1:16" ht="15">
      <c r="A164" s="5" t="s">
        <v>14</v>
      </c>
      <c r="M164" s="281"/>
      <c r="N164" s="281" t="s">
        <v>17</v>
      </c>
      <c r="O164" s="347"/>
      <c r="P164" s="347"/>
    </row>
    <row r="165" spans="1:14" ht="15">
      <c r="A165" s="361" t="s">
        <v>90</v>
      </c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</row>
    <row r="166" spans="1:14" ht="4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ht="15">
      <c r="A167" s="5" t="s">
        <v>18</v>
      </c>
    </row>
    <row r="168" ht="5.25" customHeight="1"/>
    <row r="169" ht="15">
      <c r="A169" s="5" t="s">
        <v>21</v>
      </c>
    </row>
    <row r="170" ht="7.5" customHeight="1"/>
    <row r="171" spans="1:16" ht="34.5" customHeight="1">
      <c r="A171" s="333" t="s">
        <v>22</v>
      </c>
      <c r="B171" s="333"/>
      <c r="C171" s="351" t="s">
        <v>23</v>
      </c>
      <c r="D171" s="352"/>
      <c r="E171" s="353"/>
      <c r="F171" s="324" t="s">
        <v>25</v>
      </c>
      <c r="G171" s="324"/>
      <c r="H171" s="333" t="s">
        <v>26</v>
      </c>
      <c r="I171" s="333"/>
      <c r="J171" s="333"/>
      <c r="K171" s="333"/>
      <c r="L171" s="333"/>
      <c r="M171" s="351" t="s">
        <v>27</v>
      </c>
      <c r="N171" s="352"/>
      <c r="O171" s="353"/>
      <c r="P171" s="259"/>
    </row>
    <row r="172" spans="1:16" s="261" customFormat="1" ht="24.75" customHeight="1">
      <c r="A172" s="333"/>
      <c r="B172" s="333"/>
      <c r="C172" s="332" t="s">
        <v>24</v>
      </c>
      <c r="D172" s="332" t="s">
        <v>24</v>
      </c>
      <c r="E172" s="332" t="s">
        <v>24</v>
      </c>
      <c r="F172" s="332" t="s">
        <v>24</v>
      </c>
      <c r="G172" s="332" t="s">
        <v>24</v>
      </c>
      <c r="H172" s="333" t="s">
        <v>31</v>
      </c>
      <c r="I172" s="333"/>
      <c r="J172" s="333" t="s">
        <v>28</v>
      </c>
      <c r="K172" s="333"/>
      <c r="L172" s="333"/>
      <c r="M172" s="317" t="s">
        <v>32</v>
      </c>
      <c r="N172" s="317" t="s">
        <v>33</v>
      </c>
      <c r="O172" s="317" t="s">
        <v>34</v>
      </c>
      <c r="P172" s="260"/>
    </row>
    <row r="173" spans="1:16" s="261" customFormat="1" ht="16.5" customHeight="1">
      <c r="A173" s="333"/>
      <c r="B173" s="333"/>
      <c r="C173" s="332"/>
      <c r="D173" s="332"/>
      <c r="E173" s="332"/>
      <c r="F173" s="332"/>
      <c r="G173" s="332"/>
      <c r="H173" s="333"/>
      <c r="I173" s="333"/>
      <c r="J173" s="325" t="s">
        <v>30</v>
      </c>
      <c r="K173" s="326"/>
      <c r="L173" s="11" t="s">
        <v>29</v>
      </c>
      <c r="M173" s="318"/>
      <c r="N173" s="318"/>
      <c r="O173" s="318"/>
      <c r="P173" s="260"/>
    </row>
    <row r="174" spans="1:16" s="278" customFormat="1" ht="7.5">
      <c r="A174" s="319">
        <v>1</v>
      </c>
      <c r="B174" s="319"/>
      <c r="C174" s="279">
        <v>2</v>
      </c>
      <c r="D174" s="279">
        <v>3</v>
      </c>
      <c r="E174" s="279">
        <v>4</v>
      </c>
      <c r="F174" s="279">
        <v>5</v>
      </c>
      <c r="G174" s="279">
        <v>6</v>
      </c>
      <c r="H174" s="319">
        <v>7</v>
      </c>
      <c r="I174" s="319"/>
      <c r="J174" s="312">
        <v>8</v>
      </c>
      <c r="K174" s="313"/>
      <c r="L174" s="279">
        <v>9</v>
      </c>
      <c r="M174" s="279">
        <v>10</v>
      </c>
      <c r="N174" s="279">
        <v>11</v>
      </c>
      <c r="O174" s="279">
        <v>12</v>
      </c>
      <c r="P174" s="280"/>
    </row>
    <row r="175" spans="1:16" ht="30" customHeight="1">
      <c r="A175" s="320" t="s">
        <v>106</v>
      </c>
      <c r="B175" s="321"/>
      <c r="C175" s="12"/>
      <c r="D175" s="12"/>
      <c r="E175" s="12"/>
      <c r="F175" s="12" t="s">
        <v>91</v>
      </c>
      <c r="G175" s="12"/>
      <c r="H175" s="322" t="s">
        <v>99</v>
      </c>
      <c r="I175" s="323"/>
      <c r="J175" s="315" t="s">
        <v>100</v>
      </c>
      <c r="K175" s="316"/>
      <c r="L175" s="262">
        <v>744</v>
      </c>
      <c r="M175" s="263" t="s">
        <v>348</v>
      </c>
      <c r="N175" s="12"/>
      <c r="O175" s="272"/>
      <c r="P175" s="266"/>
    </row>
    <row r="176" spans="1:16" ht="30.75" customHeight="1">
      <c r="A176" s="320" t="s">
        <v>106</v>
      </c>
      <c r="B176" s="321"/>
      <c r="C176" s="12"/>
      <c r="D176" s="12"/>
      <c r="E176" s="12"/>
      <c r="F176" s="14" t="s">
        <v>92</v>
      </c>
      <c r="G176" s="12"/>
      <c r="H176" s="322" t="s">
        <v>99</v>
      </c>
      <c r="I176" s="323"/>
      <c r="J176" s="315" t="s">
        <v>100</v>
      </c>
      <c r="K176" s="316"/>
      <c r="L176" s="262">
        <v>744</v>
      </c>
      <c r="M176" s="263" t="s">
        <v>348</v>
      </c>
      <c r="N176" s="12"/>
      <c r="O176" s="272"/>
      <c r="P176" s="266"/>
    </row>
    <row r="177" spans="1:16" ht="15" hidden="1">
      <c r="A177" s="339"/>
      <c r="B177" s="341"/>
      <c r="C177" s="2"/>
      <c r="D177" s="2"/>
      <c r="E177" s="2"/>
      <c r="F177" s="2"/>
      <c r="G177" s="2"/>
      <c r="H177" s="339"/>
      <c r="I177" s="341"/>
      <c r="J177" s="339"/>
      <c r="K177" s="341"/>
      <c r="L177" s="2"/>
      <c r="M177" s="2"/>
      <c r="N177" s="2"/>
      <c r="O177" s="339"/>
      <c r="P177" s="341"/>
    </row>
    <row r="178" spans="1:16" ht="15" hidden="1">
      <c r="A178" s="339"/>
      <c r="B178" s="341"/>
      <c r="C178" s="2"/>
      <c r="D178" s="2"/>
      <c r="E178" s="2"/>
      <c r="F178" s="2"/>
      <c r="G178" s="2"/>
      <c r="H178" s="339"/>
      <c r="I178" s="341"/>
      <c r="J178" s="339"/>
      <c r="K178" s="341"/>
      <c r="L178" s="2"/>
      <c r="M178" s="2"/>
      <c r="N178" s="2"/>
      <c r="O178" s="339"/>
      <c r="P178" s="341"/>
    </row>
    <row r="179" spans="1:16" ht="15" hidden="1">
      <c r="A179" s="339"/>
      <c r="B179" s="341"/>
      <c r="C179" s="2"/>
      <c r="D179" s="2"/>
      <c r="E179" s="2"/>
      <c r="F179" s="2"/>
      <c r="G179" s="2"/>
      <c r="H179" s="339"/>
      <c r="I179" s="341"/>
      <c r="J179" s="339"/>
      <c r="K179" s="341"/>
      <c r="L179" s="2"/>
      <c r="M179" s="2"/>
      <c r="N179" s="2"/>
      <c r="O179" s="339"/>
      <c r="P179" s="341"/>
    </row>
    <row r="180" spans="1:16" ht="15" hidden="1">
      <c r="A180" s="339"/>
      <c r="B180" s="341"/>
      <c r="C180" s="2"/>
      <c r="D180" s="2"/>
      <c r="E180" s="2"/>
      <c r="F180" s="2"/>
      <c r="G180" s="2"/>
      <c r="H180" s="339"/>
      <c r="I180" s="341"/>
      <c r="J180" s="339"/>
      <c r="K180" s="341"/>
      <c r="L180" s="2"/>
      <c r="M180" s="2"/>
      <c r="N180" s="2"/>
      <c r="O180" s="339"/>
      <c r="P180" s="341"/>
    </row>
    <row r="181" spans="1:16" ht="15" hidden="1">
      <c r="A181" s="339"/>
      <c r="B181" s="341"/>
      <c r="C181" s="2"/>
      <c r="D181" s="2"/>
      <c r="E181" s="2"/>
      <c r="F181" s="2"/>
      <c r="G181" s="2"/>
      <c r="H181" s="339"/>
      <c r="I181" s="341"/>
      <c r="J181" s="339"/>
      <c r="K181" s="341"/>
      <c r="L181" s="2"/>
      <c r="M181" s="2"/>
      <c r="N181" s="2"/>
      <c r="O181" s="339"/>
      <c r="P181" s="341"/>
    </row>
    <row r="182" spans="1:16" ht="15" hidden="1">
      <c r="A182" s="339"/>
      <c r="B182" s="341"/>
      <c r="C182" s="2"/>
      <c r="D182" s="2"/>
      <c r="E182" s="2"/>
      <c r="F182" s="2"/>
      <c r="G182" s="2"/>
      <c r="H182" s="339"/>
      <c r="I182" s="341"/>
      <c r="J182" s="339"/>
      <c r="K182" s="341"/>
      <c r="L182" s="2"/>
      <c r="M182" s="2"/>
      <c r="N182" s="2"/>
      <c r="O182" s="339"/>
      <c r="P182" s="341"/>
    </row>
    <row r="183" ht="7.5" customHeight="1"/>
    <row r="184" ht="15">
      <c r="A184" s="5" t="s">
        <v>35</v>
      </c>
    </row>
    <row r="185" spans="1:4" ht="15">
      <c r="A185" s="5" t="s">
        <v>36</v>
      </c>
      <c r="C185" s="347"/>
      <c r="D185" s="347"/>
    </row>
    <row r="186" ht="7.5" customHeight="1">
      <c r="D186" s="267"/>
    </row>
    <row r="187" ht="15">
      <c r="A187" s="5" t="s">
        <v>45</v>
      </c>
    </row>
    <row r="188" ht="8.25" customHeight="1"/>
    <row r="189" spans="1:16" ht="31.5" customHeight="1">
      <c r="A189" s="359" t="s">
        <v>22</v>
      </c>
      <c r="B189" s="328"/>
      <c r="C189" s="351" t="s">
        <v>23</v>
      </c>
      <c r="D189" s="352"/>
      <c r="E189" s="353"/>
      <c r="F189" s="324" t="s">
        <v>25</v>
      </c>
      <c r="G189" s="324"/>
      <c r="H189" s="333" t="s">
        <v>37</v>
      </c>
      <c r="I189" s="333"/>
      <c r="J189" s="333"/>
      <c r="K189" s="333" t="s">
        <v>38</v>
      </c>
      <c r="L189" s="333"/>
      <c r="M189" s="333"/>
      <c r="N189" s="352" t="s">
        <v>39</v>
      </c>
      <c r="O189" s="352"/>
      <c r="P189" s="353"/>
    </row>
    <row r="190" spans="1:16" ht="42" customHeight="1">
      <c r="A190" s="329"/>
      <c r="B190" s="330"/>
      <c r="C190" s="332" t="s">
        <v>24</v>
      </c>
      <c r="D190" s="332" t="s">
        <v>24</v>
      </c>
      <c r="E190" s="332" t="s">
        <v>24</v>
      </c>
      <c r="F190" s="332" t="s">
        <v>24</v>
      </c>
      <c r="G190" s="332" t="s">
        <v>24</v>
      </c>
      <c r="H190" s="333" t="s">
        <v>31</v>
      </c>
      <c r="I190" s="333" t="s">
        <v>28</v>
      </c>
      <c r="J190" s="333"/>
      <c r="K190" s="357" t="s">
        <v>32</v>
      </c>
      <c r="L190" s="357" t="s">
        <v>33</v>
      </c>
      <c r="M190" s="359" t="s">
        <v>34</v>
      </c>
      <c r="N190" s="357" t="s">
        <v>32</v>
      </c>
      <c r="O190" s="357" t="s">
        <v>33</v>
      </c>
      <c r="P190" s="333" t="s">
        <v>34</v>
      </c>
    </row>
    <row r="191" spans="1:16" ht="13.5" customHeight="1">
      <c r="A191" s="327"/>
      <c r="B191" s="331"/>
      <c r="C191" s="332"/>
      <c r="D191" s="332"/>
      <c r="E191" s="332"/>
      <c r="F191" s="332"/>
      <c r="G191" s="332"/>
      <c r="H191" s="333"/>
      <c r="I191" s="10" t="s">
        <v>41</v>
      </c>
      <c r="J191" s="11" t="s">
        <v>29</v>
      </c>
      <c r="K191" s="358"/>
      <c r="L191" s="358"/>
      <c r="M191" s="327"/>
      <c r="N191" s="358"/>
      <c r="O191" s="358"/>
      <c r="P191" s="333"/>
    </row>
    <row r="192" spans="1:16" s="278" customFormat="1" ht="7.5">
      <c r="A192" s="349">
        <v>1</v>
      </c>
      <c r="B192" s="350"/>
      <c r="C192" s="279">
        <v>2</v>
      </c>
      <c r="D192" s="279">
        <v>3</v>
      </c>
      <c r="E192" s="279">
        <v>4</v>
      </c>
      <c r="F192" s="279">
        <v>5</v>
      </c>
      <c r="G192" s="279">
        <v>6</v>
      </c>
      <c r="H192" s="279">
        <v>7</v>
      </c>
      <c r="I192" s="279">
        <v>8</v>
      </c>
      <c r="J192" s="279">
        <v>9</v>
      </c>
      <c r="K192" s="279">
        <v>10</v>
      </c>
      <c r="L192" s="279">
        <v>11</v>
      </c>
      <c r="M192" s="279">
        <v>12</v>
      </c>
      <c r="N192" s="279">
        <v>13</v>
      </c>
      <c r="O192" s="279">
        <v>14</v>
      </c>
      <c r="P192" s="279">
        <v>15</v>
      </c>
    </row>
    <row r="193" spans="1:16" ht="15">
      <c r="A193" s="369" t="str">
        <f>A175</f>
        <v>000000000005630015211794000301000101001101101 </v>
      </c>
      <c r="B193" s="370"/>
      <c r="C193" s="12"/>
      <c r="D193" s="12"/>
      <c r="E193" s="12"/>
      <c r="F193" s="12" t="s">
        <v>91</v>
      </c>
      <c r="G193" s="12"/>
      <c r="H193" s="14" t="s">
        <v>93</v>
      </c>
      <c r="I193" s="13" t="s">
        <v>94</v>
      </c>
      <c r="J193" s="12">
        <v>792</v>
      </c>
      <c r="K193" s="12">
        <f>проверка!K4</f>
        <v>50</v>
      </c>
      <c r="L193" s="12"/>
      <c r="M193" s="12"/>
      <c r="N193" s="12">
        <f>проверка!K28</f>
        <v>41854.96000000001</v>
      </c>
      <c r="O193" s="13"/>
      <c r="P193" s="13"/>
    </row>
    <row r="194" spans="1:16" ht="23.25">
      <c r="A194" s="369" t="str">
        <f>A176</f>
        <v>000000000005630015211794000301000101001101101 </v>
      </c>
      <c r="B194" s="370"/>
      <c r="C194" s="12"/>
      <c r="D194" s="12"/>
      <c r="E194" s="12"/>
      <c r="F194" s="14" t="s">
        <v>92</v>
      </c>
      <c r="G194" s="12"/>
      <c r="H194" s="14" t="s">
        <v>93</v>
      </c>
      <c r="I194" s="13" t="s">
        <v>94</v>
      </c>
      <c r="J194" s="12">
        <v>792</v>
      </c>
      <c r="K194" s="12"/>
      <c r="L194" s="12"/>
      <c r="M194" s="12"/>
      <c r="N194" s="12"/>
      <c r="O194" s="13"/>
      <c r="P194" s="13"/>
    </row>
    <row r="195" spans="1:16" ht="15" hidden="1">
      <c r="A195" s="13"/>
      <c r="B195" s="13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  <c r="O195" s="268"/>
      <c r="P195" s="269"/>
    </row>
    <row r="196" spans="1:16" ht="15" hidden="1">
      <c r="A196" s="4"/>
      <c r="B196" s="4"/>
      <c r="C196" s="2"/>
      <c r="D196" s="2"/>
      <c r="E196" s="2"/>
      <c r="F196" s="2"/>
      <c r="G196" s="2"/>
      <c r="H196" s="4"/>
      <c r="I196" s="4"/>
      <c r="J196" s="2"/>
      <c r="K196" s="2"/>
      <c r="L196" s="2"/>
      <c r="M196" s="2"/>
      <c r="N196" s="2"/>
      <c r="O196" s="270"/>
      <c r="P196" s="271"/>
    </row>
    <row r="197" spans="1:16" ht="15" hidden="1">
      <c r="A197" s="4"/>
      <c r="B197" s="4"/>
      <c r="C197" s="2"/>
      <c r="D197" s="2"/>
      <c r="E197" s="2"/>
      <c r="F197" s="2"/>
      <c r="G197" s="2"/>
      <c r="H197" s="4"/>
      <c r="I197" s="4"/>
      <c r="J197" s="2"/>
      <c r="K197" s="2"/>
      <c r="L197" s="2"/>
      <c r="M197" s="2"/>
      <c r="N197" s="2"/>
      <c r="O197" s="270"/>
      <c r="P197" s="271"/>
    </row>
    <row r="198" spans="1:16" ht="15" hidden="1">
      <c r="A198" s="4"/>
      <c r="B198" s="4"/>
      <c r="C198" s="2"/>
      <c r="D198" s="2"/>
      <c r="E198" s="2"/>
      <c r="F198" s="2"/>
      <c r="G198" s="2"/>
      <c r="H198" s="4"/>
      <c r="I198" s="4"/>
      <c r="J198" s="2"/>
      <c r="K198" s="2"/>
      <c r="L198" s="2"/>
      <c r="M198" s="2"/>
      <c r="N198" s="2"/>
      <c r="O198" s="270"/>
      <c r="P198" s="271"/>
    </row>
    <row r="199" spans="1:16" ht="15" hidden="1">
      <c r="A199" s="4"/>
      <c r="B199" s="4"/>
      <c r="C199" s="2"/>
      <c r="D199" s="2"/>
      <c r="E199" s="2"/>
      <c r="F199" s="2"/>
      <c r="G199" s="2"/>
      <c r="H199" s="4"/>
      <c r="I199" s="4"/>
      <c r="J199" s="2"/>
      <c r="K199" s="2"/>
      <c r="L199" s="2"/>
      <c r="M199" s="2"/>
      <c r="N199" s="2"/>
      <c r="O199" s="270"/>
      <c r="P199" s="271"/>
    </row>
    <row r="200" spans="1:16" ht="15" hidden="1">
      <c r="A200" s="4"/>
      <c r="B200" s="4"/>
      <c r="C200" s="2"/>
      <c r="D200" s="2"/>
      <c r="E200" s="2"/>
      <c r="F200" s="2"/>
      <c r="G200" s="2"/>
      <c r="H200" s="4"/>
      <c r="I200" s="4"/>
      <c r="J200" s="2"/>
      <c r="K200" s="2"/>
      <c r="L200" s="2"/>
      <c r="M200" s="2"/>
      <c r="N200" s="2"/>
      <c r="O200" s="270"/>
      <c r="P200" s="271"/>
    </row>
    <row r="201" ht="6" customHeight="1"/>
    <row r="202" ht="15">
      <c r="A202" s="5" t="s">
        <v>40</v>
      </c>
    </row>
    <row r="203" spans="1:4" ht="15">
      <c r="A203" s="5" t="s">
        <v>36</v>
      </c>
      <c r="C203" s="347"/>
      <c r="D203" s="347"/>
    </row>
    <row r="204" ht="6" customHeight="1">
      <c r="D204" s="267"/>
    </row>
    <row r="205" ht="15">
      <c r="A205" s="5" t="s">
        <v>46</v>
      </c>
    </row>
    <row r="206" ht="8.25" customHeight="1"/>
    <row r="207" spans="1:16" ht="15">
      <c r="A207" s="347" t="s">
        <v>51</v>
      </c>
      <c r="B207" s="347"/>
      <c r="C207" s="347"/>
      <c r="D207" s="347"/>
      <c r="E207" s="347"/>
      <c r="F207" s="347"/>
      <c r="G207" s="347"/>
      <c r="H207" s="347"/>
      <c r="I207" s="347"/>
      <c r="J207" s="347"/>
      <c r="K207" s="347"/>
      <c r="L207" s="347"/>
      <c r="M207" s="347"/>
      <c r="N207" s="347"/>
      <c r="O207" s="347"/>
      <c r="P207" s="347"/>
    </row>
    <row r="208" spans="1:16" ht="15">
      <c r="A208" s="254" t="s">
        <v>47</v>
      </c>
      <c r="B208" s="347" t="s">
        <v>48</v>
      </c>
      <c r="C208" s="347"/>
      <c r="D208" s="347"/>
      <c r="E208" s="254" t="s">
        <v>49</v>
      </c>
      <c r="F208" s="254" t="s">
        <v>50</v>
      </c>
      <c r="G208" s="347" t="s">
        <v>30</v>
      </c>
      <c r="H208" s="347"/>
      <c r="I208" s="347"/>
      <c r="J208" s="347"/>
      <c r="K208" s="347"/>
      <c r="L208" s="347"/>
      <c r="M208" s="347"/>
      <c r="N208" s="347"/>
      <c r="O208" s="347"/>
      <c r="P208" s="347"/>
    </row>
    <row r="209" spans="1:16" s="278" customFormat="1" ht="7.5">
      <c r="A209" s="277">
        <v>1</v>
      </c>
      <c r="B209" s="346">
        <v>2</v>
      </c>
      <c r="C209" s="346"/>
      <c r="D209" s="346"/>
      <c r="E209" s="277">
        <v>3</v>
      </c>
      <c r="F209" s="277">
        <v>4</v>
      </c>
      <c r="G209" s="346">
        <v>5</v>
      </c>
      <c r="H209" s="346"/>
      <c r="I209" s="346"/>
      <c r="J209" s="346"/>
      <c r="K209" s="346"/>
      <c r="L209" s="346"/>
      <c r="M209" s="346"/>
      <c r="N209" s="346"/>
      <c r="O209" s="346"/>
      <c r="P209" s="346"/>
    </row>
    <row r="210" spans="1:16" s="261" customFormat="1" ht="33.75" customHeight="1">
      <c r="A210" s="11" t="s">
        <v>350</v>
      </c>
      <c r="B210" s="351" t="s">
        <v>351</v>
      </c>
      <c r="C210" s="352"/>
      <c r="D210" s="353"/>
      <c r="E210" s="273">
        <v>42367</v>
      </c>
      <c r="F210" s="11">
        <v>384</v>
      </c>
      <c r="G210" s="354" t="s">
        <v>352</v>
      </c>
      <c r="H210" s="355"/>
      <c r="I210" s="355"/>
      <c r="J210" s="355"/>
      <c r="K210" s="355"/>
      <c r="L210" s="355"/>
      <c r="M210" s="355"/>
      <c r="N210" s="355"/>
      <c r="O210" s="355"/>
      <c r="P210" s="356"/>
    </row>
    <row r="211" spans="1:16" s="261" customFormat="1" ht="11.25" hidden="1">
      <c r="A211" s="12"/>
      <c r="B211" s="343"/>
      <c r="C211" s="343"/>
      <c r="D211" s="343"/>
      <c r="E211" s="274"/>
      <c r="F211" s="12"/>
      <c r="G211" s="344"/>
      <c r="H211" s="344"/>
      <c r="I211" s="344"/>
      <c r="J211" s="344"/>
      <c r="K211" s="344"/>
      <c r="L211" s="344"/>
      <c r="M211" s="344"/>
      <c r="N211" s="344"/>
      <c r="O211" s="344"/>
      <c r="P211" s="344"/>
    </row>
    <row r="212" spans="1:16" s="261" customFormat="1" ht="11.25" hidden="1">
      <c r="A212" s="12"/>
      <c r="B212" s="343"/>
      <c r="C212" s="343"/>
      <c r="D212" s="343"/>
      <c r="E212" s="274"/>
      <c r="F212" s="12"/>
      <c r="G212" s="362"/>
      <c r="H212" s="363"/>
      <c r="I212" s="363"/>
      <c r="J212" s="363"/>
      <c r="K212" s="363"/>
      <c r="L212" s="363"/>
      <c r="M212" s="363"/>
      <c r="N212" s="363"/>
      <c r="O212" s="363"/>
      <c r="P212" s="364"/>
    </row>
    <row r="213" spans="1:16" s="261" customFormat="1" ht="11.25" hidden="1">
      <c r="A213" s="12"/>
      <c r="B213" s="343"/>
      <c r="C213" s="343"/>
      <c r="D213" s="343"/>
      <c r="E213" s="12"/>
      <c r="F213" s="12"/>
      <c r="G213" s="344"/>
      <c r="H213" s="344"/>
      <c r="I213" s="344"/>
      <c r="J213" s="344"/>
      <c r="K213" s="344"/>
      <c r="L213" s="344"/>
      <c r="M213" s="344"/>
      <c r="N213" s="344"/>
      <c r="O213" s="344"/>
      <c r="P213" s="344"/>
    </row>
    <row r="214" ht="9.75" customHeight="1"/>
    <row r="215" ht="15">
      <c r="A215" s="5" t="s">
        <v>52</v>
      </c>
    </row>
    <row r="216" ht="8.25" customHeight="1"/>
    <row r="217" ht="15">
      <c r="A217" s="5" t="s">
        <v>53</v>
      </c>
    </row>
    <row r="218" spans="1:16" ht="42.75" customHeight="1">
      <c r="A218" s="348" t="s">
        <v>353</v>
      </c>
      <c r="B218" s="348"/>
      <c r="C218" s="348"/>
      <c r="D218" s="348"/>
      <c r="E218" s="348"/>
      <c r="F218" s="348"/>
      <c r="G218" s="348"/>
      <c r="H218" s="348"/>
      <c r="I218" s="348"/>
      <c r="J218" s="348"/>
      <c r="K218" s="348"/>
      <c r="L218" s="348"/>
      <c r="M218" s="348"/>
      <c r="N218" s="348"/>
      <c r="O218" s="348"/>
      <c r="P218" s="348"/>
    </row>
    <row r="219" spans="1:12" ht="15">
      <c r="A219" s="345" t="s">
        <v>54</v>
      </c>
      <c r="B219" s="345"/>
      <c r="C219" s="345"/>
      <c r="D219" s="345"/>
      <c r="E219" s="345"/>
      <c r="F219" s="345"/>
      <c r="G219" s="345"/>
      <c r="H219" s="345"/>
      <c r="I219" s="345"/>
      <c r="J219" s="345"/>
      <c r="K219" s="345"/>
      <c r="L219" s="345"/>
    </row>
    <row r="220" ht="3.75" customHeight="1"/>
    <row r="221" ht="15">
      <c r="A221" s="5" t="s">
        <v>55</v>
      </c>
    </row>
    <row r="223" spans="1:11" ht="15">
      <c r="A223" s="347" t="s">
        <v>56</v>
      </c>
      <c r="B223" s="347"/>
      <c r="C223" s="347"/>
      <c r="D223" s="347" t="s">
        <v>57</v>
      </c>
      <c r="E223" s="347"/>
      <c r="F223" s="347"/>
      <c r="G223" s="347"/>
      <c r="H223" s="347" t="s">
        <v>58</v>
      </c>
      <c r="I223" s="347"/>
      <c r="J223" s="347"/>
      <c r="K223" s="347"/>
    </row>
    <row r="224" spans="1:11" s="278" customFormat="1" ht="7.5">
      <c r="A224" s="346">
        <v>1</v>
      </c>
      <c r="B224" s="346"/>
      <c r="C224" s="346"/>
      <c r="D224" s="346">
        <v>2</v>
      </c>
      <c r="E224" s="346"/>
      <c r="F224" s="346"/>
      <c r="G224" s="346"/>
      <c r="H224" s="346">
        <v>3</v>
      </c>
      <c r="I224" s="346"/>
      <c r="J224" s="346"/>
      <c r="K224" s="346"/>
    </row>
    <row r="225" spans="1:11" ht="15">
      <c r="A225" s="336" t="s">
        <v>360</v>
      </c>
      <c r="B225" s="337"/>
      <c r="C225" s="338"/>
      <c r="D225" s="339"/>
      <c r="E225" s="340"/>
      <c r="F225" s="340"/>
      <c r="G225" s="341"/>
      <c r="H225" s="339"/>
      <c r="I225" s="340"/>
      <c r="J225" s="340"/>
      <c r="K225" s="341"/>
    </row>
    <row r="226" spans="1:11" ht="15" hidden="1">
      <c r="A226" s="339"/>
      <c r="B226" s="340"/>
      <c r="C226" s="341"/>
      <c r="D226" s="339"/>
      <c r="E226" s="340"/>
      <c r="F226" s="340"/>
      <c r="G226" s="341"/>
      <c r="H226" s="339"/>
      <c r="I226" s="340"/>
      <c r="J226" s="340"/>
      <c r="K226" s="341"/>
    </row>
    <row r="227" spans="1:11" ht="15" hidden="1">
      <c r="A227" s="339"/>
      <c r="B227" s="340"/>
      <c r="C227" s="341"/>
      <c r="D227" s="339"/>
      <c r="E227" s="340"/>
      <c r="F227" s="340"/>
      <c r="G227" s="341"/>
      <c r="H227" s="339"/>
      <c r="I227" s="340"/>
      <c r="J227" s="340"/>
      <c r="K227" s="341"/>
    </row>
    <row r="228" spans="1:16" ht="15">
      <c r="A228" s="314" t="s">
        <v>358</v>
      </c>
      <c r="B228" s="314"/>
      <c r="C228" s="314"/>
      <c r="D228" s="314"/>
      <c r="E228" s="314"/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</row>
    <row r="229" ht="7.5" customHeight="1"/>
    <row r="230" spans="1:16" ht="15">
      <c r="A230" s="5" t="s">
        <v>13</v>
      </c>
      <c r="E230" s="360" t="s">
        <v>340</v>
      </c>
      <c r="F230" s="360"/>
      <c r="G230" s="360"/>
      <c r="H230" s="360"/>
      <c r="I230" s="360"/>
      <c r="J230" s="360"/>
      <c r="K230" s="360"/>
      <c r="L230" s="360"/>
      <c r="M230" s="6"/>
      <c r="N230" s="6" t="s">
        <v>15</v>
      </c>
      <c r="O230" s="347" t="s">
        <v>110</v>
      </c>
      <c r="P230" s="347"/>
    </row>
    <row r="231" spans="1:16" ht="15">
      <c r="A231" s="361" t="s">
        <v>88</v>
      </c>
      <c r="B231" s="361"/>
      <c r="C231" s="361"/>
      <c r="D231" s="361"/>
      <c r="E231" s="361"/>
      <c r="F231" s="361"/>
      <c r="G231" s="361"/>
      <c r="H231" s="361"/>
      <c r="I231" s="361"/>
      <c r="J231" s="361"/>
      <c r="K231" s="361"/>
      <c r="L231" s="361"/>
      <c r="M231" s="6"/>
      <c r="N231" s="6" t="s">
        <v>16</v>
      </c>
      <c r="O231" s="347"/>
      <c r="P231" s="347"/>
    </row>
    <row r="232" spans="1:16" ht="15">
      <c r="A232" s="5" t="s">
        <v>14</v>
      </c>
      <c r="M232" s="6"/>
      <c r="N232" s="6" t="s">
        <v>17</v>
      </c>
      <c r="O232" s="347"/>
      <c r="P232" s="347"/>
    </row>
    <row r="233" spans="1:14" ht="15">
      <c r="A233" s="361" t="s">
        <v>111</v>
      </c>
      <c r="B233" s="361"/>
      <c r="C233" s="361"/>
      <c r="D233" s="361"/>
      <c r="E233" s="361"/>
      <c r="F233" s="361"/>
      <c r="G233" s="361"/>
      <c r="H233" s="361"/>
      <c r="I233" s="361"/>
      <c r="J233" s="361"/>
      <c r="K233" s="361"/>
      <c r="L233" s="361"/>
      <c r="M233" s="361"/>
      <c r="N233" s="361"/>
    </row>
    <row r="234" spans="1:14" ht="4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ht="15">
      <c r="A235" s="5" t="s">
        <v>18</v>
      </c>
    </row>
    <row r="236" ht="5.25" customHeight="1"/>
    <row r="237" ht="15">
      <c r="A237" s="5" t="s">
        <v>21</v>
      </c>
    </row>
    <row r="238" ht="7.5" customHeight="1"/>
    <row r="239" spans="1:16" ht="34.5" customHeight="1">
      <c r="A239" s="333" t="s">
        <v>22</v>
      </c>
      <c r="B239" s="333"/>
      <c r="C239" s="351" t="s">
        <v>23</v>
      </c>
      <c r="D239" s="352"/>
      <c r="E239" s="353"/>
      <c r="F239" s="324" t="s">
        <v>25</v>
      </c>
      <c r="G239" s="324"/>
      <c r="H239" s="333" t="s">
        <v>26</v>
      </c>
      <c r="I239" s="333"/>
      <c r="J239" s="333"/>
      <c r="K239" s="333"/>
      <c r="L239" s="333"/>
      <c r="M239" s="351" t="s">
        <v>27</v>
      </c>
      <c r="N239" s="352"/>
      <c r="O239" s="353"/>
      <c r="P239" s="259"/>
    </row>
    <row r="240" spans="1:16" s="261" customFormat="1" ht="24.75" customHeight="1">
      <c r="A240" s="333"/>
      <c r="B240" s="333"/>
      <c r="C240" s="332" t="s">
        <v>24</v>
      </c>
      <c r="D240" s="332" t="s">
        <v>24</v>
      </c>
      <c r="E240" s="332" t="s">
        <v>24</v>
      </c>
      <c r="F240" s="332" t="s">
        <v>24</v>
      </c>
      <c r="G240" s="332" t="s">
        <v>24</v>
      </c>
      <c r="H240" s="333" t="s">
        <v>31</v>
      </c>
      <c r="I240" s="333"/>
      <c r="J240" s="333" t="s">
        <v>28</v>
      </c>
      <c r="K240" s="333"/>
      <c r="L240" s="333"/>
      <c r="M240" s="317" t="s">
        <v>32</v>
      </c>
      <c r="N240" s="317" t="s">
        <v>33</v>
      </c>
      <c r="O240" s="317" t="s">
        <v>34</v>
      </c>
      <c r="P240" s="260"/>
    </row>
    <row r="241" spans="1:16" s="261" customFormat="1" ht="16.5" customHeight="1">
      <c r="A241" s="333"/>
      <c r="B241" s="333"/>
      <c r="C241" s="332"/>
      <c r="D241" s="332"/>
      <c r="E241" s="332"/>
      <c r="F241" s="332"/>
      <c r="G241" s="332"/>
      <c r="H241" s="333"/>
      <c r="I241" s="333"/>
      <c r="J241" s="325" t="s">
        <v>30</v>
      </c>
      <c r="K241" s="326"/>
      <c r="L241" s="11" t="s">
        <v>29</v>
      </c>
      <c r="M241" s="318"/>
      <c r="N241" s="318"/>
      <c r="O241" s="318"/>
      <c r="P241" s="260"/>
    </row>
    <row r="242" spans="1:16" s="278" customFormat="1" ht="11.25" customHeight="1">
      <c r="A242" s="319">
        <v>1</v>
      </c>
      <c r="B242" s="319"/>
      <c r="C242" s="279">
        <v>2</v>
      </c>
      <c r="D242" s="279">
        <v>3</v>
      </c>
      <c r="E242" s="279">
        <v>4</v>
      </c>
      <c r="F242" s="279">
        <v>5</v>
      </c>
      <c r="G242" s="279">
        <v>6</v>
      </c>
      <c r="H242" s="319">
        <v>7</v>
      </c>
      <c r="I242" s="319"/>
      <c r="J242" s="312">
        <v>8</v>
      </c>
      <c r="K242" s="313"/>
      <c r="L242" s="279">
        <v>9</v>
      </c>
      <c r="M242" s="279">
        <v>10</v>
      </c>
      <c r="N242" s="279">
        <v>11</v>
      </c>
      <c r="O242" s="279">
        <v>12</v>
      </c>
      <c r="P242" s="280"/>
    </row>
    <row r="243" spans="1:16" ht="30" customHeight="1">
      <c r="A243" s="320" t="s">
        <v>112</v>
      </c>
      <c r="B243" s="321"/>
      <c r="C243" s="12"/>
      <c r="D243" s="12"/>
      <c r="E243" s="12"/>
      <c r="F243" s="12" t="s">
        <v>91</v>
      </c>
      <c r="G243" s="12"/>
      <c r="H243" s="322" t="s">
        <v>99</v>
      </c>
      <c r="I243" s="323"/>
      <c r="J243" s="315" t="s">
        <v>100</v>
      </c>
      <c r="K243" s="316"/>
      <c r="L243" s="262">
        <v>744</v>
      </c>
      <c r="M243" s="263" t="s">
        <v>348</v>
      </c>
      <c r="N243" s="12"/>
      <c r="O243" s="272"/>
      <c r="P243" s="266"/>
    </row>
    <row r="244" spans="1:16" ht="32.25" customHeight="1">
      <c r="A244" s="320" t="s">
        <v>112</v>
      </c>
      <c r="B244" s="321"/>
      <c r="C244" s="12"/>
      <c r="D244" s="12"/>
      <c r="E244" s="12"/>
      <c r="F244" s="14" t="s">
        <v>92</v>
      </c>
      <c r="G244" s="12"/>
      <c r="H244" s="322" t="s">
        <v>99</v>
      </c>
      <c r="I244" s="323"/>
      <c r="J244" s="315" t="s">
        <v>100</v>
      </c>
      <c r="K244" s="316"/>
      <c r="L244" s="262">
        <v>744</v>
      </c>
      <c r="M244" s="263" t="s">
        <v>348</v>
      </c>
      <c r="N244" s="12"/>
      <c r="O244" s="272"/>
      <c r="P244" s="266"/>
    </row>
    <row r="245" spans="1:16" ht="15" hidden="1">
      <c r="A245" s="339"/>
      <c r="B245" s="341"/>
      <c r="C245" s="2"/>
      <c r="D245" s="2"/>
      <c r="E245" s="2"/>
      <c r="F245" s="2"/>
      <c r="G245" s="2"/>
      <c r="H245" s="339"/>
      <c r="I245" s="341"/>
      <c r="J245" s="339"/>
      <c r="K245" s="341"/>
      <c r="L245" s="2"/>
      <c r="M245" s="2"/>
      <c r="N245" s="2"/>
      <c r="O245" s="339"/>
      <c r="P245" s="341"/>
    </row>
    <row r="246" spans="1:16" ht="15" hidden="1">
      <c r="A246" s="339"/>
      <c r="B246" s="341"/>
      <c r="C246" s="2"/>
      <c r="D246" s="2"/>
      <c r="E246" s="2"/>
      <c r="F246" s="2"/>
      <c r="G246" s="2"/>
      <c r="H246" s="339"/>
      <c r="I246" s="341"/>
      <c r="J246" s="339"/>
      <c r="K246" s="341"/>
      <c r="L246" s="2"/>
      <c r="M246" s="2"/>
      <c r="N246" s="2"/>
      <c r="O246" s="339"/>
      <c r="P246" s="341"/>
    </row>
    <row r="247" spans="1:16" ht="15" hidden="1">
      <c r="A247" s="339"/>
      <c r="B247" s="341"/>
      <c r="C247" s="2"/>
      <c r="D247" s="2"/>
      <c r="E247" s="2"/>
      <c r="F247" s="2"/>
      <c r="G247" s="2"/>
      <c r="H247" s="339"/>
      <c r="I247" s="341"/>
      <c r="J247" s="339"/>
      <c r="K247" s="341"/>
      <c r="L247" s="2"/>
      <c r="M247" s="2"/>
      <c r="N247" s="2"/>
      <c r="O247" s="339"/>
      <c r="P247" s="341"/>
    </row>
    <row r="248" spans="1:16" ht="15" hidden="1">
      <c r="A248" s="339"/>
      <c r="B248" s="341"/>
      <c r="C248" s="2"/>
      <c r="D248" s="2"/>
      <c r="E248" s="2"/>
      <c r="F248" s="2"/>
      <c r="G248" s="2"/>
      <c r="H248" s="339"/>
      <c r="I248" s="341"/>
      <c r="J248" s="339"/>
      <c r="K248" s="341"/>
      <c r="L248" s="2"/>
      <c r="M248" s="2"/>
      <c r="N248" s="2"/>
      <c r="O248" s="339"/>
      <c r="P248" s="341"/>
    </row>
    <row r="249" spans="1:16" ht="15" hidden="1">
      <c r="A249" s="339"/>
      <c r="B249" s="341"/>
      <c r="C249" s="2"/>
      <c r="D249" s="2"/>
      <c r="E249" s="2"/>
      <c r="F249" s="2"/>
      <c r="G249" s="2"/>
      <c r="H249" s="339"/>
      <c r="I249" s="341"/>
      <c r="J249" s="339"/>
      <c r="K249" s="341"/>
      <c r="L249" s="2"/>
      <c r="M249" s="2"/>
      <c r="N249" s="2"/>
      <c r="O249" s="339"/>
      <c r="P249" s="341"/>
    </row>
    <row r="250" spans="1:16" ht="15" hidden="1">
      <c r="A250" s="339"/>
      <c r="B250" s="341"/>
      <c r="C250" s="2"/>
      <c r="D250" s="2"/>
      <c r="E250" s="2"/>
      <c r="F250" s="2"/>
      <c r="G250" s="2"/>
      <c r="H250" s="339"/>
      <c r="I250" s="341"/>
      <c r="J250" s="339"/>
      <c r="K250" s="341"/>
      <c r="L250" s="2"/>
      <c r="M250" s="2"/>
      <c r="N250" s="2"/>
      <c r="O250" s="339"/>
      <c r="P250" s="341"/>
    </row>
    <row r="251" ht="7.5" customHeight="1"/>
    <row r="252" ht="15">
      <c r="A252" s="5" t="s">
        <v>35</v>
      </c>
    </row>
    <row r="253" spans="1:4" ht="15">
      <c r="A253" s="5" t="s">
        <v>36</v>
      </c>
      <c r="C253" s="347"/>
      <c r="D253" s="347"/>
    </row>
    <row r="254" ht="3.75" customHeight="1">
      <c r="D254" s="267"/>
    </row>
    <row r="255" ht="15">
      <c r="A255" s="5" t="s">
        <v>45</v>
      </c>
    </row>
    <row r="256" ht="5.25" customHeight="1"/>
    <row r="257" spans="1:16" ht="36" customHeight="1">
      <c r="A257" s="359" t="s">
        <v>22</v>
      </c>
      <c r="B257" s="328"/>
      <c r="C257" s="351" t="s">
        <v>23</v>
      </c>
      <c r="D257" s="352"/>
      <c r="E257" s="353"/>
      <c r="F257" s="324" t="s">
        <v>25</v>
      </c>
      <c r="G257" s="324"/>
      <c r="H257" s="333" t="s">
        <v>37</v>
      </c>
      <c r="I257" s="333"/>
      <c r="J257" s="333"/>
      <c r="K257" s="333" t="s">
        <v>38</v>
      </c>
      <c r="L257" s="333"/>
      <c r="M257" s="333"/>
      <c r="N257" s="352" t="s">
        <v>39</v>
      </c>
      <c r="O257" s="352"/>
      <c r="P257" s="353"/>
    </row>
    <row r="258" spans="1:16" ht="42" customHeight="1">
      <c r="A258" s="329"/>
      <c r="B258" s="330"/>
      <c r="C258" s="332" t="s">
        <v>24</v>
      </c>
      <c r="D258" s="332" t="s">
        <v>24</v>
      </c>
      <c r="E258" s="332" t="s">
        <v>24</v>
      </c>
      <c r="F258" s="332" t="s">
        <v>24</v>
      </c>
      <c r="G258" s="332" t="s">
        <v>24</v>
      </c>
      <c r="H258" s="333" t="s">
        <v>31</v>
      </c>
      <c r="I258" s="333" t="s">
        <v>28</v>
      </c>
      <c r="J258" s="333"/>
      <c r="K258" s="357" t="s">
        <v>32</v>
      </c>
      <c r="L258" s="357" t="s">
        <v>33</v>
      </c>
      <c r="M258" s="359" t="s">
        <v>34</v>
      </c>
      <c r="N258" s="357" t="s">
        <v>32</v>
      </c>
      <c r="O258" s="357" t="s">
        <v>33</v>
      </c>
      <c r="P258" s="333" t="s">
        <v>34</v>
      </c>
    </row>
    <row r="259" spans="1:16" ht="13.5" customHeight="1">
      <c r="A259" s="327"/>
      <c r="B259" s="331"/>
      <c r="C259" s="332"/>
      <c r="D259" s="332"/>
      <c r="E259" s="332"/>
      <c r="F259" s="332"/>
      <c r="G259" s="332"/>
      <c r="H259" s="333"/>
      <c r="I259" s="10" t="s">
        <v>41</v>
      </c>
      <c r="J259" s="11" t="s">
        <v>29</v>
      </c>
      <c r="K259" s="358"/>
      <c r="L259" s="358"/>
      <c r="M259" s="327"/>
      <c r="N259" s="358"/>
      <c r="O259" s="358"/>
      <c r="P259" s="333"/>
    </row>
    <row r="260" spans="1:16" s="278" customFormat="1" ht="7.5">
      <c r="A260" s="349">
        <v>1</v>
      </c>
      <c r="B260" s="350"/>
      <c r="C260" s="279">
        <v>2</v>
      </c>
      <c r="D260" s="279">
        <v>3</v>
      </c>
      <c r="E260" s="279">
        <v>4</v>
      </c>
      <c r="F260" s="279">
        <v>5</v>
      </c>
      <c r="G260" s="279">
        <v>6</v>
      </c>
      <c r="H260" s="279">
        <v>7</v>
      </c>
      <c r="I260" s="279">
        <v>8</v>
      </c>
      <c r="J260" s="279">
        <v>9</v>
      </c>
      <c r="K260" s="279">
        <v>10</v>
      </c>
      <c r="L260" s="279">
        <v>11</v>
      </c>
      <c r="M260" s="279">
        <v>12</v>
      </c>
      <c r="N260" s="279">
        <v>13</v>
      </c>
      <c r="O260" s="279">
        <v>14</v>
      </c>
      <c r="P260" s="279">
        <v>15</v>
      </c>
    </row>
    <row r="261" spans="1:16" ht="15">
      <c r="A261" s="369" t="str">
        <f>A243</f>
        <v>000000000005630015211788001000100005006101101 </v>
      </c>
      <c r="B261" s="370"/>
      <c r="C261" s="12"/>
      <c r="D261" s="12"/>
      <c r="E261" s="12"/>
      <c r="F261" s="12" t="s">
        <v>91</v>
      </c>
      <c r="G261" s="12"/>
      <c r="H261" s="14" t="s">
        <v>93</v>
      </c>
      <c r="I261" s="13" t="s">
        <v>94</v>
      </c>
      <c r="J261" s="12">
        <v>792</v>
      </c>
      <c r="K261" s="12">
        <f>проверка!L4</f>
        <v>0</v>
      </c>
      <c r="L261" s="12"/>
      <c r="M261" s="12"/>
      <c r="N261" s="12">
        <f>проверка!L28</f>
        <v>0</v>
      </c>
      <c r="O261" s="13"/>
      <c r="P261" s="13"/>
    </row>
    <row r="262" spans="1:16" ht="23.25">
      <c r="A262" s="369" t="str">
        <f>A244</f>
        <v>000000000005630015211788001000100005006101101 </v>
      </c>
      <c r="B262" s="370"/>
      <c r="C262" s="12"/>
      <c r="D262" s="12"/>
      <c r="E262" s="12"/>
      <c r="F262" s="14" t="s">
        <v>92</v>
      </c>
      <c r="G262" s="12"/>
      <c r="H262" s="14" t="s">
        <v>93</v>
      </c>
      <c r="I262" s="13" t="s">
        <v>94</v>
      </c>
      <c r="J262" s="12">
        <v>792</v>
      </c>
      <c r="K262" s="12"/>
      <c r="L262" s="12"/>
      <c r="M262" s="12"/>
      <c r="N262" s="12"/>
      <c r="O262" s="13"/>
      <c r="P262" s="13"/>
    </row>
    <row r="263" spans="1:16" ht="15" hidden="1">
      <c r="A263" s="13"/>
      <c r="B263" s="13"/>
      <c r="C263" s="12"/>
      <c r="D263" s="12"/>
      <c r="E263" s="12"/>
      <c r="F263" s="12"/>
      <c r="G263" s="12"/>
      <c r="H263" s="13"/>
      <c r="I263" s="13"/>
      <c r="J263" s="12"/>
      <c r="K263" s="12"/>
      <c r="L263" s="12"/>
      <c r="M263" s="12"/>
      <c r="N263" s="12"/>
      <c r="O263" s="268"/>
      <c r="P263" s="269"/>
    </row>
    <row r="264" spans="1:16" ht="15" hidden="1">
      <c r="A264" s="4"/>
      <c r="B264" s="4"/>
      <c r="C264" s="2"/>
      <c r="D264" s="2"/>
      <c r="E264" s="2"/>
      <c r="F264" s="2"/>
      <c r="G264" s="2"/>
      <c r="H264" s="4"/>
      <c r="I264" s="4"/>
      <c r="J264" s="2"/>
      <c r="K264" s="2"/>
      <c r="L264" s="2"/>
      <c r="M264" s="2"/>
      <c r="N264" s="2"/>
      <c r="O264" s="270"/>
      <c r="P264" s="271"/>
    </row>
    <row r="265" spans="1:16" ht="15" hidden="1">
      <c r="A265" s="4"/>
      <c r="B265" s="4"/>
      <c r="C265" s="2"/>
      <c r="D265" s="2"/>
      <c r="E265" s="2"/>
      <c r="F265" s="2"/>
      <c r="G265" s="2"/>
      <c r="H265" s="4"/>
      <c r="I265" s="4"/>
      <c r="J265" s="2"/>
      <c r="K265" s="2"/>
      <c r="L265" s="2"/>
      <c r="M265" s="2"/>
      <c r="N265" s="2"/>
      <c r="O265" s="270"/>
      <c r="P265" s="271"/>
    </row>
    <row r="266" spans="1:16" ht="15" hidden="1">
      <c r="A266" s="4"/>
      <c r="B266" s="4"/>
      <c r="C266" s="2"/>
      <c r="D266" s="2"/>
      <c r="E266" s="2"/>
      <c r="F266" s="2"/>
      <c r="G266" s="2"/>
      <c r="H266" s="4"/>
      <c r="I266" s="4"/>
      <c r="J266" s="2"/>
      <c r="K266" s="2"/>
      <c r="L266" s="2"/>
      <c r="M266" s="2"/>
      <c r="N266" s="2"/>
      <c r="O266" s="270"/>
      <c r="P266" s="271"/>
    </row>
    <row r="267" spans="1:16" ht="15" hidden="1">
      <c r="A267" s="4"/>
      <c r="B267" s="4"/>
      <c r="C267" s="2"/>
      <c r="D267" s="2"/>
      <c r="E267" s="2"/>
      <c r="F267" s="2"/>
      <c r="G267" s="2"/>
      <c r="H267" s="4"/>
      <c r="I267" s="4"/>
      <c r="J267" s="2"/>
      <c r="K267" s="2"/>
      <c r="L267" s="2"/>
      <c r="M267" s="2"/>
      <c r="N267" s="2"/>
      <c r="O267" s="270"/>
      <c r="P267" s="271"/>
    </row>
    <row r="268" spans="1:16" ht="15" hidden="1">
      <c r="A268" s="4"/>
      <c r="B268" s="4"/>
      <c r="C268" s="2"/>
      <c r="D268" s="2"/>
      <c r="E268" s="2"/>
      <c r="F268" s="2"/>
      <c r="G268" s="2"/>
      <c r="H268" s="4"/>
      <c r="I268" s="4"/>
      <c r="J268" s="2"/>
      <c r="K268" s="2"/>
      <c r="L268" s="2"/>
      <c r="M268" s="2"/>
      <c r="N268" s="2"/>
      <c r="O268" s="270"/>
      <c r="P268" s="271"/>
    </row>
    <row r="269" ht="6" customHeight="1"/>
    <row r="270" ht="15">
      <c r="A270" s="5" t="s">
        <v>40</v>
      </c>
    </row>
    <row r="271" spans="1:4" ht="15">
      <c r="A271" s="5" t="s">
        <v>36</v>
      </c>
      <c r="C271" s="347"/>
      <c r="D271" s="347"/>
    </row>
    <row r="272" ht="6" customHeight="1">
      <c r="D272" s="267"/>
    </row>
    <row r="273" ht="15">
      <c r="A273" s="5" t="s">
        <v>46</v>
      </c>
    </row>
    <row r="274" ht="8.25" customHeight="1"/>
    <row r="275" spans="1:16" ht="15">
      <c r="A275" s="347" t="s">
        <v>51</v>
      </c>
      <c r="B275" s="347"/>
      <c r="C275" s="347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</row>
    <row r="276" spans="1:16" ht="15">
      <c r="A276" s="254" t="s">
        <v>47</v>
      </c>
      <c r="B276" s="347" t="s">
        <v>48</v>
      </c>
      <c r="C276" s="347"/>
      <c r="D276" s="347"/>
      <c r="E276" s="254" t="s">
        <v>49</v>
      </c>
      <c r="F276" s="254" t="s">
        <v>50</v>
      </c>
      <c r="G276" s="347" t="s">
        <v>30</v>
      </c>
      <c r="H276" s="347"/>
      <c r="I276" s="347"/>
      <c r="J276" s="347"/>
      <c r="K276" s="347"/>
      <c r="L276" s="347"/>
      <c r="M276" s="347"/>
      <c r="N276" s="347"/>
      <c r="O276" s="347"/>
      <c r="P276" s="347"/>
    </row>
    <row r="277" spans="1:16" s="278" customFormat="1" ht="7.5">
      <c r="A277" s="277">
        <v>1</v>
      </c>
      <c r="B277" s="346">
        <v>2</v>
      </c>
      <c r="C277" s="346"/>
      <c r="D277" s="346"/>
      <c r="E277" s="277">
        <v>3</v>
      </c>
      <c r="F277" s="277">
        <v>4</v>
      </c>
      <c r="G277" s="346">
        <v>5</v>
      </c>
      <c r="H277" s="346"/>
      <c r="I277" s="346"/>
      <c r="J277" s="346"/>
      <c r="K277" s="346"/>
      <c r="L277" s="346"/>
      <c r="M277" s="346"/>
      <c r="N277" s="346"/>
      <c r="O277" s="346"/>
      <c r="P277" s="346"/>
    </row>
    <row r="278" spans="1:16" s="261" customFormat="1" ht="33" customHeight="1">
      <c r="A278" s="11" t="s">
        <v>350</v>
      </c>
      <c r="B278" s="351" t="s">
        <v>351</v>
      </c>
      <c r="C278" s="352"/>
      <c r="D278" s="353"/>
      <c r="E278" s="273">
        <v>42367</v>
      </c>
      <c r="F278" s="11">
        <v>384</v>
      </c>
      <c r="G278" s="354" t="s">
        <v>352</v>
      </c>
      <c r="H278" s="355"/>
      <c r="I278" s="355"/>
      <c r="J278" s="355"/>
      <c r="K278" s="355"/>
      <c r="L278" s="355"/>
      <c r="M278" s="355"/>
      <c r="N278" s="355"/>
      <c r="O278" s="355"/>
      <c r="P278" s="356"/>
    </row>
    <row r="279" spans="1:16" s="261" customFormat="1" ht="11.25">
      <c r="A279" s="12"/>
      <c r="B279" s="343"/>
      <c r="C279" s="343"/>
      <c r="D279" s="343"/>
      <c r="E279" s="274"/>
      <c r="F279" s="12"/>
      <c r="G279" s="344"/>
      <c r="H279" s="344"/>
      <c r="I279" s="344"/>
      <c r="J279" s="344"/>
      <c r="K279" s="344"/>
      <c r="L279" s="344"/>
      <c r="M279" s="344"/>
      <c r="N279" s="344"/>
      <c r="O279" s="344"/>
      <c r="P279" s="344"/>
    </row>
    <row r="280" spans="1:16" s="261" customFormat="1" ht="11.25" hidden="1">
      <c r="A280" s="12"/>
      <c r="B280" s="343"/>
      <c r="C280" s="343"/>
      <c r="D280" s="343"/>
      <c r="E280" s="274"/>
      <c r="F280" s="12"/>
      <c r="G280" s="362"/>
      <c r="H280" s="363"/>
      <c r="I280" s="363"/>
      <c r="J280" s="363"/>
      <c r="K280" s="363"/>
      <c r="L280" s="363"/>
      <c r="M280" s="363"/>
      <c r="N280" s="363"/>
      <c r="O280" s="363"/>
      <c r="P280" s="364"/>
    </row>
    <row r="281" spans="1:16" s="261" customFormat="1" ht="11.25" hidden="1">
      <c r="A281" s="12"/>
      <c r="B281" s="343"/>
      <c r="C281" s="343"/>
      <c r="D281" s="343"/>
      <c r="E281" s="12"/>
      <c r="F281" s="12"/>
      <c r="G281" s="344"/>
      <c r="H281" s="344"/>
      <c r="I281" s="344"/>
      <c r="J281" s="344"/>
      <c r="K281" s="344"/>
      <c r="L281" s="344"/>
      <c r="M281" s="344"/>
      <c r="N281" s="344"/>
      <c r="O281" s="344"/>
      <c r="P281" s="344"/>
    </row>
    <row r="282" ht="5.25" customHeight="1"/>
    <row r="283" ht="15">
      <c r="A283" s="5" t="s">
        <v>52</v>
      </c>
    </row>
    <row r="284" ht="3" customHeight="1"/>
    <row r="285" ht="15">
      <c r="A285" s="5" t="s">
        <v>53</v>
      </c>
    </row>
    <row r="286" spans="1:16" ht="44.25" customHeight="1">
      <c r="A286" s="348" t="s">
        <v>353</v>
      </c>
      <c r="B286" s="348"/>
      <c r="C286" s="348"/>
      <c r="D286" s="348"/>
      <c r="E286" s="348"/>
      <c r="F286" s="348"/>
      <c r="G286" s="348"/>
      <c r="H286" s="348"/>
      <c r="I286" s="348"/>
      <c r="J286" s="348"/>
      <c r="K286" s="348"/>
      <c r="L286" s="348"/>
      <c r="M286" s="348"/>
      <c r="N286" s="348"/>
      <c r="O286" s="348"/>
      <c r="P286" s="348"/>
    </row>
    <row r="287" spans="1:12" ht="15">
      <c r="A287" s="345" t="s">
        <v>54</v>
      </c>
      <c r="B287" s="345"/>
      <c r="C287" s="345"/>
      <c r="D287" s="345"/>
      <c r="E287" s="345"/>
      <c r="F287" s="345"/>
      <c r="G287" s="345"/>
      <c r="H287" s="345"/>
      <c r="I287" s="345"/>
      <c r="J287" s="345"/>
      <c r="K287" s="345"/>
      <c r="L287" s="345"/>
    </row>
    <row r="288" ht="3.75" customHeight="1"/>
    <row r="289" ht="15">
      <c r="A289" s="5" t="s">
        <v>55</v>
      </c>
    </row>
    <row r="291" spans="1:11" ht="15">
      <c r="A291" s="347" t="s">
        <v>56</v>
      </c>
      <c r="B291" s="347"/>
      <c r="C291" s="347"/>
      <c r="D291" s="347" t="s">
        <v>57</v>
      </c>
      <c r="E291" s="347"/>
      <c r="F291" s="347"/>
      <c r="G291" s="347"/>
      <c r="H291" s="347" t="s">
        <v>58</v>
      </c>
      <c r="I291" s="347"/>
      <c r="J291" s="347"/>
      <c r="K291" s="347"/>
    </row>
    <row r="292" spans="1:11" s="278" customFormat="1" ht="7.5">
      <c r="A292" s="346">
        <v>1</v>
      </c>
      <c r="B292" s="346"/>
      <c r="C292" s="346"/>
      <c r="D292" s="346">
        <v>2</v>
      </c>
      <c r="E292" s="346"/>
      <c r="F292" s="346"/>
      <c r="G292" s="346"/>
      <c r="H292" s="346">
        <v>3</v>
      </c>
      <c r="I292" s="346"/>
      <c r="J292" s="346"/>
      <c r="K292" s="346"/>
    </row>
    <row r="293" spans="1:11" ht="15">
      <c r="A293" s="336" t="s">
        <v>360</v>
      </c>
      <c r="B293" s="337"/>
      <c r="C293" s="338"/>
      <c r="D293" s="339"/>
      <c r="E293" s="340"/>
      <c r="F293" s="340"/>
      <c r="G293" s="341"/>
      <c r="H293" s="339"/>
      <c r="I293" s="340"/>
      <c r="J293" s="340"/>
      <c r="K293" s="341"/>
    </row>
    <row r="294" spans="1:11" ht="15" hidden="1">
      <c r="A294" s="339"/>
      <c r="B294" s="340"/>
      <c r="C294" s="341"/>
      <c r="D294" s="339"/>
      <c r="E294" s="340"/>
      <c r="F294" s="340"/>
      <c r="G294" s="341"/>
      <c r="H294" s="339"/>
      <c r="I294" s="340"/>
      <c r="J294" s="340"/>
      <c r="K294" s="341"/>
    </row>
    <row r="295" spans="1:11" ht="15" hidden="1">
      <c r="A295" s="339"/>
      <c r="B295" s="340"/>
      <c r="C295" s="341"/>
      <c r="D295" s="339"/>
      <c r="E295" s="340"/>
      <c r="F295" s="340"/>
      <c r="G295" s="341"/>
      <c r="H295" s="339"/>
      <c r="I295" s="340"/>
      <c r="J295" s="340"/>
      <c r="K295" s="341"/>
    </row>
    <row r="296" spans="1:16" ht="15">
      <c r="A296" s="314" t="s">
        <v>59</v>
      </c>
      <c r="B296" s="314"/>
      <c r="C296" s="314"/>
      <c r="D296" s="314"/>
      <c r="E296" s="314"/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</row>
    <row r="297" spans="1:16" ht="15">
      <c r="A297" s="314" t="s">
        <v>359</v>
      </c>
      <c r="B297" s="314"/>
      <c r="C297" s="314"/>
      <c r="D297" s="314"/>
      <c r="E297" s="314"/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</row>
    <row r="298" ht="9" customHeight="1"/>
    <row r="299" spans="1:16" ht="15">
      <c r="A299" s="5" t="s">
        <v>60</v>
      </c>
      <c r="C299" s="379" t="s">
        <v>113</v>
      </c>
      <c r="D299" s="379"/>
      <c r="E299" s="379"/>
      <c r="F299" s="379"/>
      <c r="G299" s="379"/>
      <c r="H299" s="379"/>
      <c r="I299" s="379"/>
      <c r="J299" s="379"/>
      <c r="K299" s="379"/>
      <c r="L299" s="379"/>
      <c r="M299" s="6"/>
      <c r="N299" s="6" t="s">
        <v>15</v>
      </c>
      <c r="O299" s="347" t="s">
        <v>120</v>
      </c>
      <c r="P299" s="347"/>
    </row>
    <row r="300" spans="1:16" ht="47.25" customHeight="1">
      <c r="A300" s="365" t="s">
        <v>114</v>
      </c>
      <c r="B300" s="365"/>
      <c r="C300" s="365"/>
      <c r="D300" s="365"/>
      <c r="E300" s="365"/>
      <c r="F300" s="365"/>
      <c r="G300" s="365"/>
      <c r="H300" s="365"/>
      <c r="I300" s="365"/>
      <c r="J300" s="365"/>
      <c r="K300" s="365"/>
      <c r="L300" s="365"/>
      <c r="M300" s="366" t="s">
        <v>16</v>
      </c>
      <c r="N300" s="367"/>
      <c r="O300" s="347"/>
      <c r="P300" s="347"/>
    </row>
    <row r="301" spans="1:16" ht="15">
      <c r="A301" s="5" t="s">
        <v>61</v>
      </c>
      <c r="D301" s="361" t="s">
        <v>115</v>
      </c>
      <c r="E301" s="361"/>
      <c r="F301" s="361"/>
      <c r="G301" s="361"/>
      <c r="H301" s="361"/>
      <c r="I301" s="361"/>
      <c r="J301" s="361"/>
      <c r="K301" s="361"/>
      <c r="L301" s="361"/>
      <c r="M301" s="361"/>
      <c r="N301" s="6" t="s">
        <v>17</v>
      </c>
      <c r="O301" s="347"/>
      <c r="P301" s="347"/>
    </row>
    <row r="302" spans="1:14" ht="15">
      <c r="A302" s="368"/>
      <c r="B302" s="368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7"/>
    </row>
    <row r="303" spans="1:14" ht="5.2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ht="15">
      <c r="A304" s="5" t="s">
        <v>62</v>
      </c>
    </row>
    <row r="305" ht="3.75" customHeight="1"/>
    <row r="306" ht="15">
      <c r="A306" s="5" t="s">
        <v>63</v>
      </c>
    </row>
    <row r="307" ht="6" customHeight="1"/>
    <row r="308" spans="1:16" ht="39" customHeight="1">
      <c r="A308" s="333" t="s">
        <v>22</v>
      </c>
      <c r="B308" s="333"/>
      <c r="C308" s="351" t="s">
        <v>64</v>
      </c>
      <c r="D308" s="352"/>
      <c r="E308" s="353"/>
      <c r="F308" s="324" t="s">
        <v>65</v>
      </c>
      <c r="G308" s="324"/>
      <c r="H308" s="333" t="s">
        <v>66</v>
      </c>
      <c r="I308" s="333"/>
      <c r="J308" s="333"/>
      <c r="K308" s="333"/>
      <c r="L308" s="333"/>
      <c r="M308" s="351" t="s">
        <v>27</v>
      </c>
      <c r="N308" s="352"/>
      <c r="O308" s="353"/>
      <c r="P308" s="259"/>
    </row>
    <row r="309" spans="1:16" ht="24.75" customHeight="1">
      <c r="A309" s="333"/>
      <c r="B309" s="333"/>
      <c r="C309" s="342" t="s">
        <v>24</v>
      </c>
      <c r="D309" s="342" t="s">
        <v>24</v>
      </c>
      <c r="E309" s="342" t="s">
        <v>24</v>
      </c>
      <c r="F309" s="342" t="s">
        <v>24</v>
      </c>
      <c r="G309" s="342" t="s">
        <v>24</v>
      </c>
      <c r="H309" s="333" t="s">
        <v>31</v>
      </c>
      <c r="I309" s="333"/>
      <c r="J309" s="333" t="s">
        <v>28</v>
      </c>
      <c r="K309" s="333"/>
      <c r="L309" s="333"/>
      <c r="M309" s="357" t="s">
        <v>32</v>
      </c>
      <c r="N309" s="357" t="s">
        <v>33</v>
      </c>
      <c r="O309" s="357" t="s">
        <v>34</v>
      </c>
      <c r="P309" s="260"/>
    </row>
    <row r="310" spans="1:16" ht="26.25" customHeight="1">
      <c r="A310" s="333"/>
      <c r="B310" s="333"/>
      <c r="C310" s="342"/>
      <c r="D310" s="342"/>
      <c r="E310" s="342"/>
      <c r="F310" s="342"/>
      <c r="G310" s="342"/>
      <c r="H310" s="333"/>
      <c r="I310" s="333"/>
      <c r="J310" s="325" t="s">
        <v>30</v>
      </c>
      <c r="K310" s="326"/>
      <c r="L310" s="11" t="s">
        <v>29</v>
      </c>
      <c r="M310" s="358"/>
      <c r="N310" s="358"/>
      <c r="O310" s="358"/>
      <c r="P310" s="260"/>
    </row>
    <row r="311" spans="1:16" s="278" customFormat="1" ht="7.5">
      <c r="A311" s="319">
        <v>1</v>
      </c>
      <c r="B311" s="319"/>
      <c r="C311" s="279">
        <v>2</v>
      </c>
      <c r="D311" s="279">
        <v>3</v>
      </c>
      <c r="E311" s="279">
        <v>4</v>
      </c>
      <c r="F311" s="279">
        <v>5</v>
      </c>
      <c r="G311" s="279">
        <v>6</v>
      </c>
      <c r="H311" s="319">
        <v>7</v>
      </c>
      <c r="I311" s="319"/>
      <c r="J311" s="312">
        <v>8</v>
      </c>
      <c r="K311" s="313"/>
      <c r="L311" s="279">
        <v>9</v>
      </c>
      <c r="M311" s="279">
        <v>10</v>
      </c>
      <c r="N311" s="279">
        <v>11</v>
      </c>
      <c r="O311" s="279">
        <v>12</v>
      </c>
      <c r="P311" s="280"/>
    </row>
    <row r="312" spans="1:16" ht="54.75" customHeight="1">
      <c r="A312" s="320" t="s">
        <v>116</v>
      </c>
      <c r="B312" s="321"/>
      <c r="C312" s="2"/>
      <c r="D312" s="2"/>
      <c r="E312" s="2"/>
      <c r="F312" s="2"/>
      <c r="G312" s="2"/>
      <c r="H312" s="322" t="s">
        <v>117</v>
      </c>
      <c r="I312" s="323"/>
      <c r="J312" s="315" t="s">
        <v>100</v>
      </c>
      <c r="K312" s="316"/>
      <c r="L312" s="262">
        <v>744</v>
      </c>
      <c r="M312" s="263" t="s">
        <v>348</v>
      </c>
      <c r="N312" s="12"/>
      <c r="O312" s="272"/>
      <c r="P312" s="266"/>
    </row>
    <row r="313" spans="1:16" ht="15" hidden="1">
      <c r="A313" s="339"/>
      <c r="B313" s="341"/>
      <c r="C313" s="2"/>
      <c r="D313" s="2"/>
      <c r="E313" s="2"/>
      <c r="F313" s="2"/>
      <c r="G313" s="2"/>
      <c r="H313" s="339"/>
      <c r="I313" s="341"/>
      <c r="J313" s="339"/>
      <c r="K313" s="341"/>
      <c r="L313" s="2"/>
      <c r="M313" s="12"/>
      <c r="N313" s="12"/>
      <c r="O313" s="272"/>
      <c r="P313" s="266"/>
    </row>
    <row r="314" spans="1:16" ht="15" hidden="1">
      <c r="A314" s="339"/>
      <c r="B314" s="341"/>
      <c r="C314" s="2"/>
      <c r="D314" s="2"/>
      <c r="E314" s="2"/>
      <c r="F314" s="2"/>
      <c r="G314" s="2"/>
      <c r="H314" s="339"/>
      <c r="I314" s="341"/>
      <c r="J314" s="339"/>
      <c r="K314" s="341"/>
      <c r="L314" s="2"/>
      <c r="M314" s="12"/>
      <c r="N314" s="12"/>
      <c r="O314" s="272"/>
      <c r="P314" s="266"/>
    </row>
    <row r="315" spans="1:16" ht="15" hidden="1">
      <c r="A315" s="339"/>
      <c r="B315" s="341"/>
      <c r="C315" s="2"/>
      <c r="D315" s="2"/>
      <c r="E315" s="2"/>
      <c r="F315" s="2"/>
      <c r="G315" s="2"/>
      <c r="H315" s="339"/>
      <c r="I315" s="341"/>
      <c r="J315" s="339"/>
      <c r="K315" s="341"/>
      <c r="L315" s="2"/>
      <c r="M315" s="12"/>
      <c r="N315" s="12"/>
      <c r="O315" s="272"/>
      <c r="P315" s="266"/>
    </row>
    <row r="316" spans="1:16" ht="15" hidden="1">
      <c r="A316" s="339"/>
      <c r="B316" s="341"/>
      <c r="C316" s="2"/>
      <c r="D316" s="2"/>
      <c r="E316" s="2"/>
      <c r="F316" s="2"/>
      <c r="G316" s="2"/>
      <c r="H316" s="339"/>
      <c r="I316" s="341"/>
      <c r="J316" s="339"/>
      <c r="K316" s="341"/>
      <c r="L316" s="2"/>
      <c r="M316" s="12"/>
      <c r="N316" s="12"/>
      <c r="O316" s="272"/>
      <c r="P316" s="266"/>
    </row>
    <row r="317" spans="1:16" ht="15" hidden="1">
      <c r="A317" s="339"/>
      <c r="B317" s="341"/>
      <c r="C317" s="2"/>
      <c r="D317" s="2"/>
      <c r="E317" s="2"/>
      <c r="F317" s="2"/>
      <c r="G317" s="2"/>
      <c r="H317" s="339"/>
      <c r="I317" s="341"/>
      <c r="J317" s="339"/>
      <c r="K317" s="341"/>
      <c r="L317" s="2"/>
      <c r="M317" s="12"/>
      <c r="N317" s="12"/>
      <c r="O317" s="272"/>
      <c r="P317" s="266"/>
    </row>
    <row r="318" spans="1:16" ht="15" hidden="1">
      <c r="A318" s="339"/>
      <c r="B318" s="341"/>
      <c r="C318" s="2"/>
      <c r="D318" s="2"/>
      <c r="E318" s="2"/>
      <c r="F318" s="2"/>
      <c r="G318" s="2"/>
      <c r="H318" s="339"/>
      <c r="I318" s="341"/>
      <c r="J318" s="339"/>
      <c r="K318" s="341"/>
      <c r="L318" s="2"/>
      <c r="M318" s="12"/>
      <c r="N318" s="12"/>
      <c r="O318" s="272"/>
      <c r="P318" s="266"/>
    </row>
    <row r="319" spans="1:16" ht="15" hidden="1">
      <c r="A319" s="339"/>
      <c r="B319" s="341"/>
      <c r="C319" s="2"/>
      <c r="D319" s="2"/>
      <c r="E319" s="2"/>
      <c r="F319" s="2"/>
      <c r="G319" s="2"/>
      <c r="H319" s="339"/>
      <c r="I319" s="341"/>
      <c r="J319" s="339"/>
      <c r="K319" s="341"/>
      <c r="L319" s="2"/>
      <c r="M319" s="12"/>
      <c r="N319" s="12"/>
      <c r="O319" s="272"/>
      <c r="P319" s="266"/>
    </row>
    <row r="320" ht="7.5" customHeight="1"/>
    <row r="321" ht="15">
      <c r="A321" s="5" t="s">
        <v>67</v>
      </c>
    </row>
    <row r="322" spans="1:4" ht="15">
      <c r="A322" s="5" t="s">
        <v>36</v>
      </c>
      <c r="C322" s="347"/>
      <c r="D322" s="347"/>
    </row>
    <row r="323" ht="7.5" customHeight="1">
      <c r="D323" s="8"/>
    </row>
    <row r="324" ht="6.75" customHeight="1"/>
    <row r="325" ht="15">
      <c r="A325" s="5" t="s">
        <v>68</v>
      </c>
    </row>
    <row r="326" ht="6.75" customHeight="1"/>
    <row r="327" spans="1:16" ht="33" customHeight="1">
      <c r="A327" s="371" t="s">
        <v>22</v>
      </c>
      <c r="B327" s="372"/>
      <c r="C327" s="351" t="s">
        <v>64</v>
      </c>
      <c r="D327" s="352"/>
      <c r="E327" s="353"/>
      <c r="F327" s="324" t="s">
        <v>65</v>
      </c>
      <c r="G327" s="324"/>
      <c r="H327" s="377" t="s">
        <v>69</v>
      </c>
      <c r="I327" s="377"/>
      <c r="J327" s="377"/>
      <c r="K327" s="377" t="s">
        <v>70</v>
      </c>
      <c r="L327" s="377"/>
      <c r="M327" s="377"/>
      <c r="N327" s="378"/>
      <c r="O327" s="378"/>
      <c r="P327" s="378"/>
    </row>
    <row r="328" spans="1:16" ht="42" customHeight="1">
      <c r="A328" s="373"/>
      <c r="B328" s="374"/>
      <c r="C328" s="342" t="s">
        <v>24</v>
      </c>
      <c r="D328" s="342" t="s">
        <v>24</v>
      </c>
      <c r="E328" s="342" t="s">
        <v>24</v>
      </c>
      <c r="F328" s="342" t="s">
        <v>24</v>
      </c>
      <c r="G328" s="342" t="s">
        <v>24</v>
      </c>
      <c r="H328" s="377" t="s">
        <v>31</v>
      </c>
      <c r="I328" s="377" t="s">
        <v>28</v>
      </c>
      <c r="J328" s="377"/>
      <c r="K328" s="377" t="s">
        <v>32</v>
      </c>
      <c r="L328" s="377" t="s">
        <v>33</v>
      </c>
      <c r="M328" s="377" t="s">
        <v>34</v>
      </c>
      <c r="N328" s="378"/>
      <c r="O328" s="378"/>
      <c r="P328" s="378"/>
    </row>
    <row r="329" spans="1:16" ht="27.75" customHeight="1">
      <c r="A329" s="375"/>
      <c r="B329" s="376"/>
      <c r="C329" s="342"/>
      <c r="D329" s="342"/>
      <c r="E329" s="342"/>
      <c r="F329" s="342"/>
      <c r="G329" s="342"/>
      <c r="H329" s="377"/>
      <c r="I329" s="1" t="s">
        <v>41</v>
      </c>
      <c r="J329" s="3" t="s">
        <v>29</v>
      </c>
      <c r="K329" s="377"/>
      <c r="L329" s="377"/>
      <c r="M329" s="377"/>
      <c r="N329" s="378"/>
      <c r="O329" s="378"/>
      <c r="P329" s="378"/>
    </row>
    <row r="330" spans="1:16" s="278" customFormat="1" ht="7.5">
      <c r="A330" s="349">
        <v>1</v>
      </c>
      <c r="B330" s="350"/>
      <c r="C330" s="279">
        <v>2</v>
      </c>
      <c r="D330" s="279">
        <v>3</v>
      </c>
      <c r="E330" s="279">
        <v>4</v>
      </c>
      <c r="F330" s="279">
        <v>5</v>
      </c>
      <c r="G330" s="279">
        <v>6</v>
      </c>
      <c r="H330" s="279">
        <v>7</v>
      </c>
      <c r="I330" s="279">
        <v>8</v>
      </c>
      <c r="J330" s="279">
        <v>9</v>
      </c>
      <c r="K330" s="279">
        <v>10</v>
      </c>
      <c r="L330" s="279">
        <v>11</v>
      </c>
      <c r="M330" s="279">
        <v>12</v>
      </c>
      <c r="N330" s="282"/>
      <c r="O330" s="282"/>
      <c r="P330" s="282"/>
    </row>
    <row r="331" spans="1:16" ht="27" customHeight="1">
      <c r="A331" s="382" t="str">
        <f>A312</f>
        <v>000000000005630015211034100000000000005101102 </v>
      </c>
      <c r="B331" s="383"/>
      <c r="C331" s="2"/>
      <c r="D331" s="2"/>
      <c r="E331" s="2"/>
      <c r="F331" s="2"/>
      <c r="G331" s="2"/>
      <c r="H331" s="4" t="s">
        <v>118</v>
      </c>
      <c r="I331" s="4" t="s">
        <v>119</v>
      </c>
      <c r="J331" s="2">
        <v>796</v>
      </c>
      <c r="K331" s="2"/>
      <c r="L331" s="2"/>
      <c r="M331" s="2"/>
      <c r="N331" s="9"/>
      <c r="O331" s="7"/>
      <c r="P331" s="7"/>
    </row>
    <row r="332" spans="1:16" ht="15" hidden="1">
      <c r="A332" s="4"/>
      <c r="B332" s="4"/>
      <c r="C332" s="2"/>
      <c r="D332" s="2"/>
      <c r="E332" s="2"/>
      <c r="F332" s="2"/>
      <c r="G332" s="2"/>
      <c r="H332" s="4"/>
      <c r="I332" s="4"/>
      <c r="J332" s="2"/>
      <c r="K332" s="2"/>
      <c r="L332" s="2"/>
      <c r="M332" s="2"/>
      <c r="N332" s="9"/>
      <c r="O332" s="7"/>
      <c r="P332" s="7"/>
    </row>
    <row r="333" spans="1:16" ht="15" hidden="1">
      <c r="A333" s="4"/>
      <c r="B333" s="4"/>
      <c r="C333" s="2"/>
      <c r="D333" s="2"/>
      <c r="E333" s="2"/>
      <c r="F333" s="2"/>
      <c r="G333" s="2"/>
      <c r="H333" s="4"/>
      <c r="I333" s="4"/>
      <c r="J333" s="2"/>
      <c r="K333" s="2"/>
      <c r="L333" s="2"/>
      <c r="M333" s="2"/>
      <c r="N333" s="9"/>
      <c r="O333" s="7"/>
      <c r="P333" s="7"/>
    </row>
    <row r="334" spans="1:16" ht="15" hidden="1">
      <c r="A334" s="4"/>
      <c r="B334" s="4"/>
      <c r="C334" s="2"/>
      <c r="D334" s="2"/>
      <c r="E334" s="2"/>
      <c r="F334" s="2"/>
      <c r="G334" s="2"/>
      <c r="H334" s="4"/>
      <c r="I334" s="4"/>
      <c r="J334" s="2"/>
      <c r="K334" s="2"/>
      <c r="L334" s="2"/>
      <c r="M334" s="2"/>
      <c r="N334" s="9"/>
      <c r="O334" s="7"/>
      <c r="P334" s="7"/>
    </row>
    <row r="335" spans="1:16" ht="15" hidden="1">
      <c r="A335" s="4"/>
      <c r="B335" s="4"/>
      <c r="C335" s="2"/>
      <c r="D335" s="2"/>
      <c r="E335" s="2"/>
      <c r="F335" s="2"/>
      <c r="G335" s="2"/>
      <c r="H335" s="4"/>
      <c r="I335" s="4"/>
      <c r="J335" s="2"/>
      <c r="K335" s="2"/>
      <c r="L335" s="2"/>
      <c r="M335" s="2"/>
      <c r="N335" s="9"/>
      <c r="O335" s="7"/>
      <c r="P335" s="7"/>
    </row>
    <row r="336" spans="1:16" ht="15" hidden="1">
      <c r="A336" s="4"/>
      <c r="B336" s="4"/>
      <c r="C336" s="2"/>
      <c r="D336" s="2"/>
      <c r="E336" s="2"/>
      <c r="F336" s="2"/>
      <c r="G336" s="2"/>
      <c r="H336" s="4"/>
      <c r="I336" s="4"/>
      <c r="J336" s="2"/>
      <c r="K336" s="2"/>
      <c r="L336" s="2"/>
      <c r="M336" s="2"/>
      <c r="N336" s="9"/>
      <c r="O336" s="7"/>
      <c r="P336" s="7"/>
    </row>
    <row r="337" spans="1:16" ht="15" hidden="1">
      <c r="A337" s="4"/>
      <c r="B337" s="4"/>
      <c r="C337" s="2"/>
      <c r="D337" s="2"/>
      <c r="E337" s="2"/>
      <c r="F337" s="2"/>
      <c r="G337" s="2"/>
      <c r="H337" s="4"/>
      <c r="I337" s="4"/>
      <c r="J337" s="2"/>
      <c r="K337" s="2"/>
      <c r="L337" s="2"/>
      <c r="M337" s="2"/>
      <c r="N337" s="9"/>
      <c r="O337" s="7"/>
      <c r="P337" s="7"/>
    </row>
    <row r="338" spans="1:16" ht="15" hidden="1">
      <c r="A338" s="4"/>
      <c r="B338" s="4"/>
      <c r="C338" s="2"/>
      <c r="D338" s="2"/>
      <c r="E338" s="2"/>
      <c r="F338" s="2"/>
      <c r="G338" s="2"/>
      <c r="H338" s="4"/>
      <c r="I338" s="4"/>
      <c r="J338" s="2"/>
      <c r="K338" s="2"/>
      <c r="L338" s="2"/>
      <c r="M338" s="2"/>
      <c r="N338" s="9"/>
      <c r="O338" s="7"/>
      <c r="P338" s="7"/>
    </row>
    <row r="339" ht="9" customHeight="1"/>
    <row r="340" ht="15">
      <c r="A340" s="5" t="s">
        <v>71</v>
      </c>
    </row>
    <row r="341" spans="1:4" ht="15">
      <c r="A341" s="5" t="s">
        <v>36</v>
      </c>
      <c r="C341" s="347"/>
      <c r="D341" s="347"/>
    </row>
    <row r="342" ht="8.25" customHeight="1">
      <c r="D342" s="8"/>
    </row>
    <row r="343" s="257" customFormat="1" ht="12.75">
      <c r="A343" s="256" t="s">
        <v>42</v>
      </c>
    </row>
    <row r="344" s="257" customFormat="1" ht="12.75">
      <c r="A344" s="257" t="s">
        <v>43</v>
      </c>
    </row>
    <row r="345" s="257" customFormat="1" ht="12.75">
      <c r="A345" s="257" t="s">
        <v>44</v>
      </c>
    </row>
    <row r="347" ht="15" hidden="1"/>
    <row r="348" ht="15" hidden="1"/>
    <row r="349" spans="1:16" ht="15">
      <c r="A349" s="314" t="s">
        <v>72</v>
      </c>
      <c r="B349" s="314"/>
      <c r="C349" s="314"/>
      <c r="D349" s="314"/>
      <c r="E349" s="314"/>
      <c r="F349" s="314"/>
      <c r="G349" s="314"/>
      <c r="H349" s="314"/>
      <c r="I349" s="314"/>
      <c r="J349" s="314"/>
      <c r="K349" s="314"/>
      <c r="L349" s="314"/>
      <c r="M349" s="314"/>
      <c r="N349" s="314"/>
      <c r="O349" s="314"/>
      <c r="P349" s="314"/>
    </row>
    <row r="350" spans="1:16" ht="9.75" customHeight="1">
      <c r="A350" s="258"/>
      <c r="B350" s="258"/>
      <c r="C350" s="258"/>
      <c r="D350" s="258"/>
      <c r="E350" s="258"/>
      <c r="F350" s="258"/>
      <c r="G350" s="258"/>
      <c r="H350" s="258"/>
      <c r="I350" s="258"/>
      <c r="J350" s="258"/>
      <c r="K350" s="258"/>
      <c r="L350" s="258"/>
      <c r="M350" s="258"/>
      <c r="N350" s="258"/>
      <c r="O350" s="258"/>
      <c r="P350" s="258"/>
    </row>
    <row r="351" spans="1:16" ht="15">
      <c r="A351" s="381" t="s">
        <v>73</v>
      </c>
      <c r="B351" s="381"/>
      <c r="C351" s="381"/>
      <c r="D351" s="381"/>
      <c r="E351" s="381"/>
      <c r="F351" s="381"/>
      <c r="G351" s="381"/>
      <c r="H351" s="381"/>
      <c r="I351" s="255"/>
      <c r="J351" s="255"/>
      <c r="K351" s="255"/>
      <c r="L351" s="255"/>
      <c r="M351" s="255"/>
      <c r="N351" s="255"/>
      <c r="O351" s="255"/>
      <c r="P351" s="258"/>
    </row>
    <row r="352" spans="1:16" ht="15">
      <c r="A352" s="368"/>
      <c r="B352" s="368"/>
      <c r="C352" s="368"/>
      <c r="D352" s="368"/>
      <c r="E352" s="368"/>
      <c r="F352" s="368"/>
      <c r="G352" s="368"/>
      <c r="H352" s="368"/>
      <c r="I352" s="368"/>
      <c r="J352" s="368"/>
      <c r="K352" s="368"/>
      <c r="L352" s="368"/>
      <c r="M352" s="368"/>
      <c r="N352" s="368"/>
      <c r="O352" s="368"/>
      <c r="P352" s="258"/>
    </row>
    <row r="353" spans="1:16" ht="6" customHeight="1">
      <c r="A353" s="258"/>
      <c r="B353" s="258"/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</row>
    <row r="354" spans="1:16" ht="15">
      <c r="A354" s="275" t="s">
        <v>74</v>
      </c>
      <c r="B354" s="258"/>
      <c r="C354" s="258"/>
      <c r="D354" s="258"/>
      <c r="E354" s="258"/>
      <c r="F354" s="258"/>
      <c r="G354" s="258"/>
      <c r="H354" s="258"/>
      <c r="I354" s="258"/>
      <c r="J354" s="368"/>
      <c r="K354" s="368"/>
      <c r="L354" s="368"/>
      <c r="M354" s="368"/>
      <c r="N354" s="368"/>
      <c r="O354" s="368"/>
      <c r="P354" s="258"/>
    </row>
    <row r="355" spans="1:16" ht="15">
      <c r="A355" s="368"/>
      <c r="B355" s="368"/>
      <c r="C355" s="368"/>
      <c r="D355" s="368"/>
      <c r="E355" s="368"/>
      <c r="F355" s="368"/>
      <c r="G355" s="368"/>
      <c r="H355" s="368"/>
      <c r="I355" s="368"/>
      <c r="J355" s="368"/>
      <c r="K355" s="368"/>
      <c r="L355" s="368"/>
      <c r="M355" s="368"/>
      <c r="N355" s="368"/>
      <c r="O355" s="368"/>
      <c r="P355" s="258"/>
    </row>
    <row r="356" spans="1:16" ht="6" customHeight="1">
      <c r="A356" s="258"/>
      <c r="B356" s="258"/>
      <c r="C356" s="258"/>
      <c r="D356" s="258"/>
      <c r="E356" s="258"/>
      <c r="F356" s="258"/>
      <c r="G356" s="258"/>
      <c r="H356" s="258"/>
      <c r="I356" s="258"/>
      <c r="J356" s="258"/>
      <c r="K356" s="258"/>
      <c r="L356" s="258"/>
      <c r="M356" s="258"/>
      <c r="N356" s="258"/>
      <c r="O356" s="258"/>
      <c r="P356" s="258"/>
    </row>
    <row r="357" ht="15">
      <c r="A357" s="5" t="s">
        <v>361</v>
      </c>
    </row>
    <row r="358" ht="5.25" customHeight="1"/>
    <row r="359" spans="1:13" ht="30" customHeight="1">
      <c r="A359" s="347" t="s">
        <v>75</v>
      </c>
      <c r="B359" s="347"/>
      <c r="C359" s="347"/>
      <c r="D359" s="347" t="s">
        <v>76</v>
      </c>
      <c r="E359" s="347"/>
      <c r="F359" s="347"/>
      <c r="G359" s="347"/>
      <c r="H359" s="380" t="s">
        <v>77</v>
      </c>
      <c r="I359" s="380"/>
      <c r="J359" s="380"/>
      <c r="K359" s="380"/>
      <c r="L359" s="380"/>
      <c r="M359" s="380"/>
    </row>
    <row r="360" spans="1:13" ht="15">
      <c r="A360" s="384">
        <v>1</v>
      </c>
      <c r="B360" s="384"/>
      <c r="C360" s="384"/>
      <c r="D360" s="384">
        <v>2</v>
      </c>
      <c r="E360" s="384"/>
      <c r="F360" s="384"/>
      <c r="G360" s="384"/>
      <c r="H360" s="384">
        <v>3</v>
      </c>
      <c r="I360" s="384"/>
      <c r="J360" s="384"/>
      <c r="K360" s="384"/>
      <c r="L360" s="384"/>
      <c r="M360" s="384"/>
    </row>
    <row r="361" spans="1:13" ht="15">
      <c r="A361" s="385"/>
      <c r="B361" s="368"/>
      <c r="C361" s="386"/>
      <c r="D361" s="385"/>
      <c r="E361" s="368"/>
      <c r="F361" s="368"/>
      <c r="G361" s="386"/>
      <c r="H361" s="347"/>
      <c r="I361" s="347"/>
      <c r="J361" s="347"/>
      <c r="K361" s="347"/>
      <c r="L361" s="347"/>
      <c r="M361" s="347"/>
    </row>
    <row r="362" spans="1:13" ht="15">
      <c r="A362" s="339"/>
      <c r="B362" s="340"/>
      <c r="C362" s="341"/>
      <c r="D362" s="339"/>
      <c r="E362" s="340"/>
      <c r="F362" s="340"/>
      <c r="G362" s="341"/>
      <c r="H362" s="347"/>
      <c r="I362" s="347"/>
      <c r="J362" s="347"/>
      <c r="K362" s="347"/>
      <c r="L362" s="347"/>
      <c r="M362" s="347"/>
    </row>
    <row r="364" ht="15" hidden="1"/>
    <row r="365" spans="1:15" ht="15">
      <c r="A365" s="257" t="s">
        <v>78</v>
      </c>
      <c r="B365" s="257"/>
      <c r="C365" s="257"/>
      <c r="D365" s="257"/>
      <c r="E365" s="257"/>
      <c r="F365" s="257"/>
      <c r="G365" s="283"/>
      <c r="H365" s="283"/>
      <c r="I365" s="283"/>
      <c r="J365" s="283"/>
      <c r="K365" s="283"/>
      <c r="L365" s="283"/>
      <c r="M365" s="283"/>
      <c r="N365" s="283"/>
      <c r="O365" s="283"/>
    </row>
    <row r="366" spans="1:16" ht="21" customHeight="1">
      <c r="A366" s="257" t="s">
        <v>79</v>
      </c>
      <c r="B366" s="257"/>
      <c r="C366" s="257"/>
      <c r="D366" s="257"/>
      <c r="E366" s="257"/>
      <c r="F366" s="257"/>
      <c r="G366" s="257"/>
      <c r="H366" s="283"/>
      <c r="I366" s="334"/>
      <c r="J366" s="335"/>
      <c r="K366" s="335"/>
      <c r="L366" s="335"/>
      <c r="M366" s="335"/>
      <c r="N366" s="335"/>
      <c r="O366" s="335"/>
      <c r="P366" s="335"/>
    </row>
    <row r="367" spans="1:16" ht="63" customHeight="1">
      <c r="A367" s="257" t="s">
        <v>80</v>
      </c>
      <c r="B367" s="257"/>
      <c r="C367" s="257"/>
      <c r="D367" s="257"/>
      <c r="E367" s="257"/>
      <c r="F367" s="257"/>
      <c r="G367" s="283"/>
      <c r="H367" s="283"/>
      <c r="I367" s="334" t="s">
        <v>395</v>
      </c>
      <c r="J367" s="335"/>
      <c r="K367" s="335"/>
      <c r="L367" s="335"/>
      <c r="M367" s="335"/>
      <c r="N367" s="335"/>
      <c r="O367" s="335"/>
      <c r="P367" s="335"/>
    </row>
    <row r="368" spans="1:15" ht="15">
      <c r="A368" s="257" t="s">
        <v>81</v>
      </c>
      <c r="B368" s="257"/>
      <c r="C368" s="257"/>
      <c r="D368" s="257"/>
      <c r="E368" s="257"/>
      <c r="F368" s="257"/>
      <c r="G368" s="276"/>
      <c r="H368" s="276"/>
      <c r="I368" s="276"/>
      <c r="J368" s="276"/>
      <c r="K368" s="276"/>
      <c r="L368" s="276"/>
      <c r="M368" s="276"/>
      <c r="N368" s="276"/>
      <c r="O368" s="276"/>
    </row>
    <row r="369" spans="1:15" ht="15">
      <c r="A369" s="283"/>
      <c r="B369" s="283"/>
      <c r="C369" s="283"/>
      <c r="D369" s="283"/>
      <c r="E369" s="283"/>
      <c r="F369" s="283"/>
      <c r="G369" s="283"/>
      <c r="H369" s="283"/>
      <c r="I369" s="283"/>
      <c r="J369" s="283"/>
      <c r="K369" s="283"/>
      <c r="L369" s="283"/>
      <c r="M369" s="283"/>
      <c r="N369" s="283"/>
      <c r="O369" s="283"/>
    </row>
    <row r="370" spans="1:15" ht="15">
      <c r="A370" s="257"/>
      <c r="B370" s="257"/>
      <c r="C370" s="257"/>
      <c r="D370" s="257"/>
      <c r="E370" s="257"/>
      <c r="F370" s="257"/>
      <c r="G370" s="257"/>
      <c r="H370" s="257"/>
      <c r="I370" s="257"/>
      <c r="J370" s="257"/>
      <c r="K370" s="257"/>
      <c r="L370" s="257"/>
      <c r="M370" s="257"/>
      <c r="N370" s="257"/>
      <c r="O370" s="257"/>
    </row>
    <row r="371" spans="1:15" ht="15">
      <c r="A371" s="257" t="s">
        <v>82</v>
      </c>
      <c r="B371" s="257"/>
      <c r="C371" s="257"/>
      <c r="D371" s="257"/>
      <c r="E371" s="257"/>
      <c r="F371" s="257"/>
      <c r="G371" s="283"/>
      <c r="H371" s="283"/>
      <c r="I371" s="283"/>
      <c r="J371" s="283"/>
      <c r="K371" s="283"/>
      <c r="L371" s="283"/>
      <c r="M371" s="283"/>
      <c r="N371" s="283"/>
      <c r="O371" s="283"/>
    </row>
    <row r="372" spans="1:15" ht="15">
      <c r="A372" s="368"/>
      <c r="B372" s="368"/>
      <c r="C372" s="368"/>
      <c r="D372" s="368"/>
      <c r="E372" s="368"/>
      <c r="F372" s="368"/>
      <c r="G372" s="368"/>
      <c r="H372" s="368"/>
      <c r="I372" s="368"/>
      <c r="J372" s="368"/>
      <c r="K372" s="368"/>
      <c r="L372" s="368"/>
      <c r="M372" s="368"/>
      <c r="N372" s="368"/>
      <c r="O372" s="368"/>
    </row>
    <row r="373" ht="13.5" customHeight="1"/>
    <row r="374" ht="15" hidden="1"/>
    <row r="375" ht="15" hidden="1"/>
    <row r="376" s="257" customFormat="1" ht="12.75">
      <c r="A376" s="256" t="s">
        <v>83</v>
      </c>
    </row>
    <row r="377" s="257" customFormat="1" ht="12.75">
      <c r="A377" s="257" t="s">
        <v>84</v>
      </c>
    </row>
    <row r="378" s="257" customFormat="1" ht="12.75">
      <c r="A378" s="257" t="s">
        <v>85</v>
      </c>
    </row>
    <row r="379" s="257" customFormat="1" ht="12.75">
      <c r="A379" s="257" t="s">
        <v>86</v>
      </c>
    </row>
    <row r="380" s="257" customFormat="1" ht="12.75">
      <c r="A380" s="257" t="s">
        <v>87</v>
      </c>
    </row>
  </sheetData>
  <sheetProtection/>
  <mergeCells count="544">
    <mergeCell ref="A45:B45"/>
    <mergeCell ref="A46:B46"/>
    <mergeCell ref="H45:I45"/>
    <mergeCell ref="A56:B56"/>
    <mergeCell ref="H46:I46"/>
    <mergeCell ref="C49:D49"/>
    <mergeCell ref="G54:G55"/>
    <mergeCell ref="F53:G53"/>
    <mergeCell ref="M54:M55"/>
    <mergeCell ref="A57:B57"/>
    <mergeCell ref="C67:D67"/>
    <mergeCell ref="C54:C55"/>
    <mergeCell ref="D54:D55"/>
    <mergeCell ref="K54:K55"/>
    <mergeCell ref="A58:B58"/>
    <mergeCell ref="L54:L55"/>
    <mergeCell ref="E54:E55"/>
    <mergeCell ref="I54:J54"/>
    <mergeCell ref="F54:F55"/>
    <mergeCell ref="O43:P43"/>
    <mergeCell ref="O44:P44"/>
    <mergeCell ref="N54:N55"/>
    <mergeCell ref="O46:P46"/>
    <mergeCell ref="O54:O55"/>
    <mergeCell ref="P54:P55"/>
    <mergeCell ref="J45:K45"/>
    <mergeCell ref="J46:K46"/>
    <mergeCell ref="N53:P53"/>
    <mergeCell ref="C53:E53"/>
    <mergeCell ref="O45:P45"/>
    <mergeCell ref="K53:M53"/>
    <mergeCell ref="H53:J53"/>
    <mergeCell ref="H39:I39"/>
    <mergeCell ref="H40:I40"/>
    <mergeCell ref="H41:I41"/>
    <mergeCell ref="H42:I42"/>
    <mergeCell ref="O41:P41"/>
    <mergeCell ref="O42:P42"/>
    <mergeCell ref="H54:H55"/>
    <mergeCell ref="A42:B42"/>
    <mergeCell ref="A43:B43"/>
    <mergeCell ref="A44:B44"/>
    <mergeCell ref="J43:K43"/>
    <mergeCell ref="J44:K44"/>
    <mergeCell ref="J42:K42"/>
    <mergeCell ref="H43:I43"/>
    <mergeCell ref="H44:I44"/>
    <mergeCell ref="A41:B41"/>
    <mergeCell ref="J37:K37"/>
    <mergeCell ref="H38:I38"/>
    <mergeCell ref="J38:K38"/>
    <mergeCell ref="J39:K39"/>
    <mergeCell ref="J40:K40"/>
    <mergeCell ref="J41:K41"/>
    <mergeCell ref="F36:F37"/>
    <mergeCell ref="A39:B39"/>
    <mergeCell ref="A40:B40"/>
    <mergeCell ref="A16:L16"/>
    <mergeCell ref="A38:B38"/>
    <mergeCell ref="A35:B37"/>
    <mergeCell ref="C35:E35"/>
    <mergeCell ref="C36:C37"/>
    <mergeCell ref="D36:D37"/>
    <mergeCell ref="H36:I37"/>
    <mergeCell ref="E36:E37"/>
    <mergeCell ref="F35:G35"/>
    <mergeCell ref="O18:P19"/>
    <mergeCell ref="M35:O35"/>
    <mergeCell ref="A29:N29"/>
    <mergeCell ref="J36:L36"/>
    <mergeCell ref="A24:P24"/>
    <mergeCell ref="G36:G37"/>
    <mergeCell ref="H35:L35"/>
    <mergeCell ref="M36:M37"/>
    <mergeCell ref="N36:N37"/>
    <mergeCell ref="A8:P8"/>
    <mergeCell ref="A9:P9"/>
    <mergeCell ref="O12:P12"/>
    <mergeCell ref="O11:P11"/>
    <mergeCell ref="M11:N11"/>
    <mergeCell ref="O15:P15"/>
    <mergeCell ref="O10:P10"/>
    <mergeCell ref="A88:C88"/>
    <mergeCell ref="D88:G88"/>
    <mergeCell ref="H88:K88"/>
    <mergeCell ref="A17:L17"/>
    <mergeCell ref="A19:L19"/>
    <mergeCell ref="E26:L26"/>
    <mergeCell ref="A27:L27"/>
    <mergeCell ref="A23:P23"/>
    <mergeCell ref="A89:C89"/>
    <mergeCell ref="D89:G89"/>
    <mergeCell ref="O13:P14"/>
    <mergeCell ref="M14:N14"/>
    <mergeCell ref="A83:L83"/>
    <mergeCell ref="A82:P82"/>
    <mergeCell ref="A14:L14"/>
    <mergeCell ref="O16:P16"/>
    <mergeCell ref="A20:J20"/>
    <mergeCell ref="O26:P28"/>
    <mergeCell ref="A106:B106"/>
    <mergeCell ref="H106:I106"/>
    <mergeCell ref="H104:I105"/>
    <mergeCell ref="J104:L104"/>
    <mergeCell ref="E104:E105"/>
    <mergeCell ref="J106:K106"/>
    <mergeCell ref="G104:G105"/>
    <mergeCell ref="D104:D105"/>
    <mergeCell ref="C104:C105"/>
    <mergeCell ref="O17:P17"/>
    <mergeCell ref="N104:N105"/>
    <mergeCell ref="H91:K91"/>
    <mergeCell ref="F104:F105"/>
    <mergeCell ref="F103:G103"/>
    <mergeCell ref="A97:N97"/>
    <mergeCell ref="A103:B105"/>
    <mergeCell ref="C103:E103"/>
    <mergeCell ref="B76:D76"/>
    <mergeCell ref="B77:D77"/>
    <mergeCell ref="H90:K90"/>
    <mergeCell ref="O94:P96"/>
    <mergeCell ref="A95:L95"/>
    <mergeCell ref="A92:P92"/>
    <mergeCell ref="E94:L94"/>
    <mergeCell ref="D90:G90"/>
    <mergeCell ref="A90:C90"/>
    <mergeCell ref="A91:C91"/>
    <mergeCell ref="G72:P72"/>
    <mergeCell ref="B72:D72"/>
    <mergeCell ref="B73:D73"/>
    <mergeCell ref="A87:C87"/>
    <mergeCell ref="D87:G87"/>
    <mergeCell ref="H87:K87"/>
    <mergeCell ref="B74:D74"/>
    <mergeCell ref="B75:D75"/>
    <mergeCell ref="A110:B110"/>
    <mergeCell ref="O110:P110"/>
    <mergeCell ref="A109:B109"/>
    <mergeCell ref="A107:B107"/>
    <mergeCell ref="H107:I107"/>
    <mergeCell ref="A108:B108"/>
    <mergeCell ref="H108:I108"/>
    <mergeCell ref="J108:K108"/>
    <mergeCell ref="O109:P109"/>
    <mergeCell ref="G122:G123"/>
    <mergeCell ref="E122:E123"/>
    <mergeCell ref="K121:M121"/>
    <mergeCell ref="F122:F123"/>
    <mergeCell ref="A111:B111"/>
    <mergeCell ref="A112:B112"/>
    <mergeCell ref="C122:C123"/>
    <mergeCell ref="D122:D123"/>
    <mergeCell ref="O122:O123"/>
    <mergeCell ref="H109:I109"/>
    <mergeCell ref="J109:K109"/>
    <mergeCell ref="O112:P112"/>
    <mergeCell ref="H110:I110"/>
    <mergeCell ref="J110:K110"/>
    <mergeCell ref="H113:I113"/>
    <mergeCell ref="H111:I111"/>
    <mergeCell ref="J111:K111"/>
    <mergeCell ref="O111:P111"/>
    <mergeCell ref="A181:B181"/>
    <mergeCell ref="A182:B182"/>
    <mergeCell ref="A189:B191"/>
    <mergeCell ref="A113:B113"/>
    <mergeCell ref="A155:C155"/>
    <mergeCell ref="A156:C156"/>
    <mergeCell ref="A158:C158"/>
    <mergeCell ref="C190:C191"/>
    <mergeCell ref="O113:P113"/>
    <mergeCell ref="A114:B114"/>
    <mergeCell ref="O114:P114"/>
    <mergeCell ref="A192:B192"/>
    <mergeCell ref="C117:D117"/>
    <mergeCell ref="H121:J121"/>
    <mergeCell ref="I122:J122"/>
    <mergeCell ref="H122:H123"/>
    <mergeCell ref="A121:B123"/>
    <mergeCell ref="C121:E121"/>
    <mergeCell ref="A176:B176"/>
    <mergeCell ref="A174:B174"/>
    <mergeCell ref="A178:B178"/>
    <mergeCell ref="J113:K113"/>
    <mergeCell ref="G144:P144"/>
    <mergeCell ref="B140:D140"/>
    <mergeCell ref="G140:P140"/>
    <mergeCell ref="N121:P121"/>
    <mergeCell ref="P122:P123"/>
    <mergeCell ref="M122:M123"/>
    <mergeCell ref="M103:O103"/>
    <mergeCell ref="O104:O105"/>
    <mergeCell ref="G73:P73"/>
    <mergeCell ref="G74:P74"/>
    <mergeCell ref="G75:P75"/>
    <mergeCell ref="G76:P76"/>
    <mergeCell ref="G77:P77"/>
    <mergeCell ref="H89:K89"/>
    <mergeCell ref="D91:G91"/>
    <mergeCell ref="M104:M105"/>
    <mergeCell ref="A71:P71"/>
    <mergeCell ref="A53:B55"/>
    <mergeCell ref="A355:O355"/>
    <mergeCell ref="A362:C362"/>
    <mergeCell ref="D362:G362"/>
    <mergeCell ref="H362:M362"/>
    <mergeCell ref="A361:C361"/>
    <mergeCell ref="D361:G361"/>
    <mergeCell ref="H361:M361"/>
    <mergeCell ref="A360:C360"/>
    <mergeCell ref="A372:O372"/>
    <mergeCell ref="O36:O37"/>
    <mergeCell ref="M171:O171"/>
    <mergeCell ref="A124:B124"/>
    <mergeCell ref="A125:B125"/>
    <mergeCell ref="A126:B126"/>
    <mergeCell ref="D223:G223"/>
    <mergeCell ref="A233:N233"/>
    <mergeCell ref="A226:C226"/>
    <mergeCell ref="A227:C227"/>
    <mergeCell ref="D360:G360"/>
    <mergeCell ref="H360:M360"/>
    <mergeCell ref="A316:B316"/>
    <mergeCell ref="G211:P211"/>
    <mergeCell ref="B212:D212"/>
    <mergeCell ref="B211:D211"/>
    <mergeCell ref="D226:G226"/>
    <mergeCell ref="H226:K226"/>
    <mergeCell ref="D224:G224"/>
    <mergeCell ref="A219:L219"/>
    <mergeCell ref="A223:C223"/>
    <mergeCell ref="A351:H351"/>
    <mergeCell ref="C341:D341"/>
    <mergeCell ref="A330:B330"/>
    <mergeCell ref="F239:G239"/>
    <mergeCell ref="C328:C329"/>
    <mergeCell ref="D328:D329"/>
    <mergeCell ref="A331:B331"/>
    <mergeCell ref="E328:E329"/>
    <mergeCell ref="G280:P280"/>
    <mergeCell ref="A296:P296"/>
    <mergeCell ref="N328:N329"/>
    <mergeCell ref="J317:K317"/>
    <mergeCell ref="J318:K318"/>
    <mergeCell ref="O328:O329"/>
    <mergeCell ref="L328:L329"/>
    <mergeCell ref="C327:E327"/>
    <mergeCell ref="A315:B315"/>
    <mergeCell ref="A359:C359"/>
    <mergeCell ref="D359:G359"/>
    <mergeCell ref="H359:M359"/>
    <mergeCell ref="J354:O354"/>
    <mergeCell ref="A349:P349"/>
    <mergeCell ref="A352:O352"/>
    <mergeCell ref="P328:P329"/>
    <mergeCell ref="M239:O239"/>
    <mergeCell ref="M308:O308"/>
    <mergeCell ref="N327:P327"/>
    <mergeCell ref="O299:P301"/>
    <mergeCell ref="O258:O259"/>
    <mergeCell ref="A297:P297"/>
    <mergeCell ref="C299:L299"/>
    <mergeCell ref="H319:I319"/>
    <mergeCell ref="H239:L239"/>
    <mergeCell ref="H316:I316"/>
    <mergeCell ref="H243:I243"/>
    <mergeCell ref="J243:K243"/>
    <mergeCell ref="J316:K316"/>
    <mergeCell ref="J319:K319"/>
    <mergeCell ref="H315:I315"/>
    <mergeCell ref="H318:I318"/>
    <mergeCell ref="H317:I317"/>
    <mergeCell ref="H328:H329"/>
    <mergeCell ref="I328:J328"/>
    <mergeCell ref="K328:K329"/>
    <mergeCell ref="K327:M327"/>
    <mergeCell ref="M328:M329"/>
    <mergeCell ref="H327:J327"/>
    <mergeCell ref="A327:B329"/>
    <mergeCell ref="A317:B317"/>
    <mergeCell ref="A319:B319"/>
    <mergeCell ref="F327:G327"/>
    <mergeCell ref="F328:F329"/>
    <mergeCell ref="G328:G329"/>
    <mergeCell ref="C322:D322"/>
    <mergeCell ref="A318:B318"/>
    <mergeCell ref="J315:K315"/>
    <mergeCell ref="A261:B261"/>
    <mergeCell ref="A262:B262"/>
    <mergeCell ref="A312:B312"/>
    <mergeCell ref="A314:B314"/>
    <mergeCell ref="A311:B311"/>
    <mergeCell ref="J314:K314"/>
    <mergeCell ref="A313:B313"/>
    <mergeCell ref="H313:I313"/>
    <mergeCell ref="J313:K313"/>
    <mergeCell ref="H314:I314"/>
    <mergeCell ref="G309:G310"/>
    <mergeCell ref="O309:O310"/>
    <mergeCell ref="H309:I310"/>
    <mergeCell ref="J309:L309"/>
    <mergeCell ref="M309:M310"/>
    <mergeCell ref="N309:N310"/>
    <mergeCell ref="J310:K310"/>
    <mergeCell ref="H311:I311"/>
    <mergeCell ref="J311:K311"/>
    <mergeCell ref="H312:I312"/>
    <mergeCell ref="J312:K312"/>
    <mergeCell ref="A302:M302"/>
    <mergeCell ref="A308:B310"/>
    <mergeCell ref="C308:E308"/>
    <mergeCell ref="F308:G308"/>
    <mergeCell ref="H308:L308"/>
    <mergeCell ref="C309:C310"/>
    <mergeCell ref="D309:D310"/>
    <mergeCell ref="E309:E310"/>
    <mergeCell ref="A300:L300"/>
    <mergeCell ref="D301:M301"/>
    <mergeCell ref="N122:N123"/>
    <mergeCell ref="L122:L123"/>
    <mergeCell ref="M300:N300"/>
    <mergeCell ref="B279:D279"/>
    <mergeCell ref="A243:B243"/>
    <mergeCell ref="G279:P279"/>
    <mergeCell ref="B280:D280"/>
    <mergeCell ref="A139:P139"/>
    <mergeCell ref="H103:L103"/>
    <mergeCell ref="J105:K105"/>
    <mergeCell ref="C135:D135"/>
    <mergeCell ref="H114:I114"/>
    <mergeCell ref="J114:K114"/>
    <mergeCell ref="H112:I112"/>
    <mergeCell ref="J112:K112"/>
    <mergeCell ref="J107:K107"/>
    <mergeCell ref="K122:K123"/>
    <mergeCell ref="F121:G121"/>
    <mergeCell ref="G141:P141"/>
    <mergeCell ref="B142:D142"/>
    <mergeCell ref="G142:P142"/>
    <mergeCell ref="B143:D143"/>
    <mergeCell ref="B141:D141"/>
    <mergeCell ref="D155:G155"/>
    <mergeCell ref="H155:K155"/>
    <mergeCell ref="A150:P150"/>
    <mergeCell ref="G143:P143"/>
    <mergeCell ref="G145:P145"/>
    <mergeCell ref="A151:L151"/>
    <mergeCell ref="B145:D145"/>
    <mergeCell ref="B144:D144"/>
    <mergeCell ref="D156:G156"/>
    <mergeCell ref="H156:K156"/>
    <mergeCell ref="A157:C157"/>
    <mergeCell ref="D157:G157"/>
    <mergeCell ref="H157:K157"/>
    <mergeCell ref="D158:G158"/>
    <mergeCell ref="H158:K158"/>
    <mergeCell ref="H159:K159"/>
    <mergeCell ref="A160:P160"/>
    <mergeCell ref="D159:G159"/>
    <mergeCell ref="A159:C159"/>
    <mergeCell ref="J172:L172"/>
    <mergeCell ref="E162:L162"/>
    <mergeCell ref="O162:P164"/>
    <mergeCell ref="A163:L163"/>
    <mergeCell ref="A165:N165"/>
    <mergeCell ref="A171:B173"/>
    <mergeCell ref="H176:I176"/>
    <mergeCell ref="J176:K176"/>
    <mergeCell ref="C171:E171"/>
    <mergeCell ref="F171:G171"/>
    <mergeCell ref="J173:K173"/>
    <mergeCell ref="H174:I174"/>
    <mergeCell ref="J174:K174"/>
    <mergeCell ref="H171:L171"/>
    <mergeCell ref="C172:C173"/>
    <mergeCell ref="D172:D173"/>
    <mergeCell ref="O172:O173"/>
    <mergeCell ref="M172:M173"/>
    <mergeCell ref="A175:B175"/>
    <mergeCell ref="H175:I175"/>
    <mergeCell ref="J175:K175"/>
    <mergeCell ref="N172:N173"/>
    <mergeCell ref="E172:E173"/>
    <mergeCell ref="F172:F173"/>
    <mergeCell ref="G172:G173"/>
    <mergeCell ref="H172:I173"/>
    <mergeCell ref="H178:I178"/>
    <mergeCell ref="J178:K178"/>
    <mergeCell ref="O178:P178"/>
    <mergeCell ref="A177:B177"/>
    <mergeCell ref="H177:I177"/>
    <mergeCell ref="J177:K177"/>
    <mergeCell ref="O177:P177"/>
    <mergeCell ref="O179:P179"/>
    <mergeCell ref="A180:B180"/>
    <mergeCell ref="H180:I180"/>
    <mergeCell ref="J180:K180"/>
    <mergeCell ref="O180:P180"/>
    <mergeCell ref="A179:B179"/>
    <mergeCell ref="H179:I179"/>
    <mergeCell ref="J179:K179"/>
    <mergeCell ref="O181:P181"/>
    <mergeCell ref="N190:N191"/>
    <mergeCell ref="D190:D191"/>
    <mergeCell ref="E190:E191"/>
    <mergeCell ref="C189:E189"/>
    <mergeCell ref="F189:G189"/>
    <mergeCell ref="H182:I182"/>
    <mergeCell ref="G190:G191"/>
    <mergeCell ref="O182:P182"/>
    <mergeCell ref="I190:J190"/>
    <mergeCell ref="K189:M189"/>
    <mergeCell ref="H190:H191"/>
    <mergeCell ref="N189:P189"/>
    <mergeCell ref="P190:P191"/>
    <mergeCell ref="K190:K191"/>
    <mergeCell ref="L190:L191"/>
    <mergeCell ref="M190:M191"/>
    <mergeCell ref="H181:I181"/>
    <mergeCell ref="J181:K181"/>
    <mergeCell ref="A218:P218"/>
    <mergeCell ref="B209:D209"/>
    <mergeCell ref="G209:P209"/>
    <mergeCell ref="C203:D203"/>
    <mergeCell ref="J182:K182"/>
    <mergeCell ref="O190:O191"/>
    <mergeCell ref="C185:D185"/>
    <mergeCell ref="H189:J189"/>
    <mergeCell ref="F190:F191"/>
    <mergeCell ref="B210:D210"/>
    <mergeCell ref="A207:P207"/>
    <mergeCell ref="B208:D208"/>
    <mergeCell ref="G208:P208"/>
    <mergeCell ref="G210:P210"/>
    <mergeCell ref="A193:B193"/>
    <mergeCell ref="A194:B194"/>
    <mergeCell ref="O240:O241"/>
    <mergeCell ref="G212:P212"/>
    <mergeCell ref="B213:D213"/>
    <mergeCell ref="G213:P213"/>
    <mergeCell ref="H223:K223"/>
    <mergeCell ref="A225:C225"/>
    <mergeCell ref="D225:G225"/>
    <mergeCell ref="H225:K225"/>
    <mergeCell ref="A224:C224"/>
    <mergeCell ref="H224:K224"/>
    <mergeCell ref="C239:E239"/>
    <mergeCell ref="D240:D241"/>
    <mergeCell ref="E240:E241"/>
    <mergeCell ref="C240:C241"/>
    <mergeCell ref="A242:B242"/>
    <mergeCell ref="H242:I242"/>
    <mergeCell ref="J242:K242"/>
    <mergeCell ref="D227:G227"/>
    <mergeCell ref="H227:K227"/>
    <mergeCell ref="A228:P228"/>
    <mergeCell ref="E230:L230"/>
    <mergeCell ref="O230:P232"/>
    <mergeCell ref="A231:L231"/>
    <mergeCell ref="A239:B241"/>
    <mergeCell ref="A246:B246"/>
    <mergeCell ref="A249:B249"/>
    <mergeCell ref="A247:B247"/>
    <mergeCell ref="J246:K246"/>
    <mergeCell ref="A244:B244"/>
    <mergeCell ref="H244:I244"/>
    <mergeCell ref="J244:K244"/>
    <mergeCell ref="A245:B245"/>
    <mergeCell ref="H245:I245"/>
    <mergeCell ref="J245:K245"/>
    <mergeCell ref="N257:P257"/>
    <mergeCell ref="F257:G257"/>
    <mergeCell ref="O245:P245"/>
    <mergeCell ref="J241:K241"/>
    <mergeCell ref="H240:I241"/>
    <mergeCell ref="J240:L240"/>
    <mergeCell ref="M240:M241"/>
    <mergeCell ref="N240:N241"/>
    <mergeCell ref="F240:F241"/>
    <mergeCell ref="G240:G241"/>
    <mergeCell ref="C253:D253"/>
    <mergeCell ref="H246:I246"/>
    <mergeCell ref="O248:P248"/>
    <mergeCell ref="O250:P250"/>
    <mergeCell ref="J249:K249"/>
    <mergeCell ref="J250:K250"/>
    <mergeCell ref="O249:P249"/>
    <mergeCell ref="A250:B250"/>
    <mergeCell ref="O246:P246"/>
    <mergeCell ref="H247:I247"/>
    <mergeCell ref="J247:K247"/>
    <mergeCell ref="O247:P247"/>
    <mergeCell ref="H250:I250"/>
    <mergeCell ref="A248:B248"/>
    <mergeCell ref="H248:I248"/>
    <mergeCell ref="J248:K248"/>
    <mergeCell ref="H249:I249"/>
    <mergeCell ref="P258:P259"/>
    <mergeCell ref="K258:K259"/>
    <mergeCell ref="N258:N259"/>
    <mergeCell ref="C271:D271"/>
    <mergeCell ref="I258:J258"/>
    <mergeCell ref="E258:E259"/>
    <mergeCell ref="F258:F259"/>
    <mergeCell ref="G258:G259"/>
    <mergeCell ref="H258:H259"/>
    <mergeCell ref="D258:D259"/>
    <mergeCell ref="L258:L259"/>
    <mergeCell ref="M258:M259"/>
    <mergeCell ref="A257:B259"/>
    <mergeCell ref="C257:E257"/>
    <mergeCell ref="C258:C259"/>
    <mergeCell ref="H257:J257"/>
    <mergeCell ref="K257:M257"/>
    <mergeCell ref="H291:K291"/>
    <mergeCell ref="A286:P286"/>
    <mergeCell ref="A260:B260"/>
    <mergeCell ref="B276:D276"/>
    <mergeCell ref="G276:P276"/>
    <mergeCell ref="G277:P277"/>
    <mergeCell ref="B278:D278"/>
    <mergeCell ref="G278:P278"/>
    <mergeCell ref="B277:D277"/>
    <mergeCell ref="A275:P275"/>
    <mergeCell ref="D295:G295"/>
    <mergeCell ref="H295:K295"/>
    <mergeCell ref="B281:D281"/>
    <mergeCell ref="G281:P281"/>
    <mergeCell ref="A287:L287"/>
    <mergeCell ref="A292:C292"/>
    <mergeCell ref="D292:G292"/>
    <mergeCell ref="H292:K292"/>
    <mergeCell ref="A291:C291"/>
    <mergeCell ref="D291:G291"/>
    <mergeCell ref="I366:P366"/>
    <mergeCell ref="I367:P367"/>
    <mergeCell ref="A293:C293"/>
    <mergeCell ref="D293:G293"/>
    <mergeCell ref="H293:K293"/>
    <mergeCell ref="F309:F310"/>
    <mergeCell ref="A294:C294"/>
    <mergeCell ref="D294:G294"/>
    <mergeCell ref="H294:K294"/>
    <mergeCell ref="A295:C295"/>
  </mergeCells>
  <printOptions/>
  <pageMargins left="0.16" right="0.2" top="0.19" bottom="0.19" header="0.19" footer="0.19"/>
  <pageSetup horizontalDpi="600" verticalDpi="600" orientation="landscape" paperSize="9" scale="96" r:id="rId1"/>
  <rowBreaks count="1" manualBreakCount="1">
    <brk id="29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156"/>
  <sheetViews>
    <sheetView view="pageBreakPreview" zoomScaleSheetLayoutView="100" zoomScalePageLayoutView="0" workbookViewId="0" topLeftCell="A110">
      <selection activeCell="C4" sqref="C1:E16384"/>
    </sheetView>
  </sheetViews>
  <sheetFormatPr defaultColWidth="9.140625" defaultRowHeight="15"/>
  <cols>
    <col min="1" max="1" width="26.8515625" style="90" customWidth="1"/>
    <col min="2" max="2" width="5.00390625" style="90" customWidth="1"/>
    <col min="3" max="3" width="20.140625" style="90" hidden="1" customWidth="1"/>
    <col min="4" max="4" width="11.7109375" style="90" hidden="1" customWidth="1"/>
    <col min="5" max="5" width="12.00390625" style="90" hidden="1" customWidth="1"/>
    <col min="6" max="6" width="15.8515625" style="90" customWidth="1"/>
    <col min="7" max="8" width="12.421875" style="91" customWidth="1"/>
    <col min="9" max="9" width="11.7109375" style="91" customWidth="1"/>
    <col min="10" max="10" width="17.00390625" style="91" customWidth="1"/>
    <col min="11" max="81" width="9.140625" style="91" customWidth="1"/>
    <col min="82" max="16384" width="9.140625" style="90" customWidth="1"/>
  </cols>
  <sheetData>
    <row r="1" spans="1:10" ht="60.75" customHeight="1">
      <c r="A1" s="395" t="s">
        <v>314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5" ht="49.5" customHeight="1">
      <c r="A2" s="284" t="s">
        <v>362</v>
      </c>
      <c r="B2" s="412" t="str">
        <f>мз!A14</f>
        <v>МБОУ "Кадетская школа № 46 г. Пензы"</v>
      </c>
      <c r="C2" s="412"/>
      <c r="D2" s="412"/>
      <c r="E2" s="412"/>
      <c r="F2" s="412"/>
      <c r="G2" s="412"/>
      <c r="H2" s="412"/>
      <c r="I2" s="412"/>
      <c r="J2" s="412"/>
      <c r="K2" s="214"/>
      <c r="N2" s="214"/>
      <c r="O2" s="214"/>
    </row>
    <row r="3" spans="1:10" ht="59.25" customHeight="1">
      <c r="A3" s="418" t="s">
        <v>346</v>
      </c>
      <c r="B3" s="418"/>
      <c r="C3" s="418"/>
      <c r="D3" s="418"/>
      <c r="E3" s="418"/>
      <c r="F3" s="418"/>
      <c r="G3" s="253" t="s">
        <v>337</v>
      </c>
      <c r="H3" s="253" t="s">
        <v>338</v>
      </c>
      <c r="I3" s="253" t="s">
        <v>339</v>
      </c>
      <c r="J3" s="253" t="s">
        <v>341</v>
      </c>
    </row>
    <row r="4" ht="8.25" customHeight="1"/>
    <row r="5" spans="1:10" ht="33.75" customHeight="1">
      <c r="A5" s="416" t="s">
        <v>313</v>
      </c>
      <c r="B5" s="416"/>
      <c r="C5" s="416"/>
      <c r="D5" s="416"/>
      <c r="E5" s="416"/>
      <c r="F5" s="416"/>
      <c r="G5" s="416"/>
      <c r="H5" s="416"/>
      <c r="I5" s="416"/>
      <c r="J5" s="416"/>
    </row>
    <row r="6" spans="1:10" ht="25.5" customHeight="1">
      <c r="A6" s="213" t="s">
        <v>312</v>
      </c>
      <c r="B6" s="211"/>
      <c r="C6" s="211"/>
      <c r="E6" s="211"/>
      <c r="F6" s="212">
        <f>G6+H6+I6+J6</f>
        <v>593</v>
      </c>
      <c r="G6" s="212">
        <f>проверка!I4</f>
        <v>270</v>
      </c>
      <c r="H6" s="212">
        <f>проверка!J4</f>
        <v>273</v>
      </c>
      <c r="I6" s="212">
        <f>проверка!K4</f>
        <v>50</v>
      </c>
      <c r="J6" s="212">
        <f>проверка!L4</f>
        <v>0</v>
      </c>
    </row>
    <row r="7" spans="13:16" ht="9" customHeight="1" thickBot="1">
      <c r="M7" s="156"/>
      <c r="N7" s="156"/>
      <c r="O7" s="156"/>
      <c r="P7" s="156"/>
    </row>
    <row r="8" spans="1:16" ht="34.5" customHeight="1" thickBot="1">
      <c r="A8" s="210" t="s">
        <v>311</v>
      </c>
      <c r="B8" s="209" t="s">
        <v>310</v>
      </c>
      <c r="C8" s="209" t="s">
        <v>125</v>
      </c>
      <c r="D8" s="209" t="s">
        <v>309</v>
      </c>
      <c r="E8" s="209" t="s">
        <v>124</v>
      </c>
      <c r="F8" s="208" t="s">
        <v>308</v>
      </c>
      <c r="G8" s="209" t="s">
        <v>309</v>
      </c>
      <c r="H8" s="209" t="s">
        <v>309</v>
      </c>
      <c r="I8" s="209" t="s">
        <v>309</v>
      </c>
      <c r="J8" s="209" t="s">
        <v>309</v>
      </c>
      <c r="M8" s="156"/>
      <c r="N8" s="156"/>
      <c r="O8" s="156"/>
      <c r="P8" s="156"/>
    </row>
    <row r="9" spans="1:16" ht="36.75" customHeight="1" thickBot="1">
      <c r="A9" s="413" t="s">
        <v>307</v>
      </c>
      <c r="B9" s="414"/>
      <c r="C9" s="414"/>
      <c r="D9" s="414"/>
      <c r="E9" s="414"/>
      <c r="F9" s="414"/>
      <c r="G9" s="414"/>
      <c r="H9" s="414"/>
      <c r="I9" s="414"/>
      <c r="J9" s="415"/>
      <c r="M9" s="156"/>
      <c r="N9" s="156"/>
      <c r="O9" s="156"/>
      <c r="P9" s="156"/>
    </row>
    <row r="10" spans="1:16" ht="36" customHeight="1">
      <c r="A10" s="200" t="s">
        <v>303</v>
      </c>
      <c r="B10" s="147" t="s">
        <v>244</v>
      </c>
      <c r="C10" s="207">
        <v>5</v>
      </c>
      <c r="D10" s="147">
        <f>ROUND(F10/F6,2)</f>
        <v>13187.81</v>
      </c>
      <c r="E10" s="147"/>
      <c r="F10" s="147">
        <f aca="true" t="shared" si="0" ref="F10:J11">F16+F21+F25</f>
        <v>7820368.67</v>
      </c>
      <c r="G10" s="147">
        <f t="shared" si="0"/>
        <v>8639.95</v>
      </c>
      <c r="H10" s="147">
        <f t="shared" si="0"/>
        <v>16411.38</v>
      </c>
      <c r="I10" s="147">
        <f t="shared" si="0"/>
        <v>20153.63</v>
      </c>
      <c r="J10" s="147">
        <f t="shared" si="0"/>
        <v>0</v>
      </c>
      <c r="K10" s="161">
        <f>свод!G10*свод!G6+свод!H10*свод!H6+свод!I10*свод!I6</f>
        <v>7820774.74</v>
      </c>
      <c r="L10" s="91">
        <f>K10/F6</f>
        <v>13188.490286677908</v>
      </c>
      <c r="M10" s="156"/>
      <c r="N10" s="156"/>
      <c r="O10" s="156"/>
      <c r="P10" s="156"/>
    </row>
    <row r="11" spans="1:16" ht="46.5" customHeight="1">
      <c r="A11" s="198" t="s">
        <v>302</v>
      </c>
      <c r="B11" s="141" t="s">
        <v>244</v>
      </c>
      <c r="C11" s="196">
        <v>9</v>
      </c>
      <c r="D11" s="178">
        <f>ROUND(F11/F6,2)</f>
        <v>3982.72</v>
      </c>
      <c r="E11" s="141"/>
      <c r="F11" s="178">
        <f t="shared" si="0"/>
        <v>2361751</v>
      </c>
      <c r="G11" s="178">
        <f t="shared" si="0"/>
        <v>2609.269999999997</v>
      </c>
      <c r="H11" s="178">
        <f t="shared" si="0"/>
        <v>4956.239999999998</v>
      </c>
      <c r="I11" s="178">
        <f t="shared" si="0"/>
        <v>6086.389999999999</v>
      </c>
      <c r="J11" s="178">
        <f t="shared" si="0"/>
        <v>0</v>
      </c>
      <c r="K11" s="161">
        <f>свод!G11*свод!G6+свод!H11*свод!H6+свод!I11*свод!I6</f>
        <v>2361875.9199999985</v>
      </c>
      <c r="L11" s="91">
        <f>K11/F6</f>
        <v>3982.9273524451914</v>
      </c>
      <c r="M11" s="156"/>
      <c r="N11" s="156"/>
      <c r="O11" s="156"/>
      <c r="P11" s="156"/>
    </row>
    <row r="12" spans="1:16" ht="22.5">
      <c r="A12" s="198" t="s">
        <v>336</v>
      </c>
      <c r="B12" s="141" t="s">
        <v>244</v>
      </c>
      <c r="C12" s="196"/>
      <c r="D12" s="178">
        <f>ROUND(F12/F6,2)</f>
        <v>37.04</v>
      </c>
      <c r="E12" s="141"/>
      <c r="F12" s="178">
        <f>F27</f>
        <v>21962</v>
      </c>
      <c r="G12" s="238">
        <f>G27</f>
        <v>37.04</v>
      </c>
      <c r="H12" s="178">
        <f>H27</f>
        <v>37.04</v>
      </c>
      <c r="I12" s="178">
        <f>I27</f>
        <v>37.04</v>
      </c>
      <c r="J12" s="178">
        <f>J27</f>
        <v>0</v>
      </c>
      <c r="K12" s="161">
        <f>свод!G12*свод!G6+свод!H12*свод!H6+свод!I12*свод!I6</f>
        <v>21964.72</v>
      </c>
      <c r="L12" s="91">
        <f>K12/F6</f>
        <v>37.04</v>
      </c>
      <c r="M12" s="156"/>
      <c r="N12" s="156"/>
      <c r="O12" s="156"/>
      <c r="P12" s="156"/>
    </row>
    <row r="13" spans="1:16" ht="33" customHeight="1">
      <c r="A13" s="205" t="s">
        <v>335</v>
      </c>
      <c r="B13" s="141" t="s">
        <v>244</v>
      </c>
      <c r="C13" s="141"/>
      <c r="D13" s="178">
        <f>ROUND(F13/F6,2)</f>
        <v>534.9</v>
      </c>
      <c r="E13" s="141"/>
      <c r="F13" s="178">
        <f>F18+F28</f>
        <v>317196</v>
      </c>
      <c r="G13" s="178">
        <f>G18+G28</f>
        <v>534</v>
      </c>
      <c r="H13" s="178">
        <f>H18+H28</f>
        <v>534</v>
      </c>
      <c r="I13" s="178">
        <f>I18+I28</f>
        <v>534</v>
      </c>
      <c r="J13" s="178">
        <f>J18+J28</f>
        <v>0</v>
      </c>
      <c r="K13" s="161">
        <f>свод!G13*свод!G6+свод!H13*свод!H6+свод!I13*свод!I6</f>
        <v>316662</v>
      </c>
      <c r="L13" s="91">
        <f>K13/F6</f>
        <v>534</v>
      </c>
      <c r="M13" s="156"/>
      <c r="N13" s="156"/>
      <c r="O13" s="156"/>
      <c r="P13" s="156"/>
    </row>
    <row r="14" spans="1:81" s="161" customFormat="1" ht="18" customHeight="1" thickBot="1">
      <c r="A14" s="204" t="s">
        <v>139</v>
      </c>
      <c r="B14" s="194"/>
      <c r="C14" s="194"/>
      <c r="D14" s="194">
        <f>SUM(D10:E13)-0.01</f>
        <v>17742.460000000003</v>
      </c>
      <c r="E14" s="194"/>
      <c r="F14" s="194">
        <f>SUM(F10:F13)</f>
        <v>10521277.67</v>
      </c>
      <c r="G14" s="194">
        <f>IF(G6=0,0,G10+G11+G12)+IF(G8=0,0,G9/G6)+G13</f>
        <v>11820.259999999998</v>
      </c>
      <c r="H14" s="194">
        <f>IF(H6=0,0,H10+H11+H12)+IF(H8=0,0,H9/H6)+H13</f>
        <v>21938.66</v>
      </c>
      <c r="I14" s="194">
        <f>IF(I6=0,0,I10+I11+I12)+IF(I8=0,0,I9/I6)+I13</f>
        <v>26811.06</v>
      </c>
      <c r="J14" s="194">
        <f>IF(J6=0,0,(J10+J11+J12)+IF(J8=0,0,J9/J6)+J13)</f>
        <v>0</v>
      </c>
      <c r="K14" s="161">
        <f>свод!G14*свод!G6+свод!H14*свод!H6+свод!I14*свод!I6</f>
        <v>10521277.379999999</v>
      </c>
      <c r="L14" s="91">
        <f>K14/F6</f>
        <v>17742.457639123102</v>
      </c>
      <c r="M14" s="156"/>
      <c r="N14" s="156"/>
      <c r="O14" s="156"/>
      <c r="P14" s="156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</row>
    <row r="15" spans="1:10" s="156" customFormat="1" ht="31.5" customHeight="1" thickBot="1">
      <c r="A15" s="408" t="s">
        <v>306</v>
      </c>
      <c r="B15" s="409"/>
      <c r="C15" s="409"/>
      <c r="D15" s="409"/>
      <c r="E15" s="409"/>
      <c r="F15" s="409"/>
      <c r="G15" s="409"/>
      <c r="H15" s="409"/>
      <c r="I15" s="409"/>
      <c r="J15" s="409"/>
    </row>
    <row r="16" spans="1:10" s="156" customFormat="1" ht="30.75" customHeight="1">
      <c r="A16" s="200" t="s">
        <v>303</v>
      </c>
      <c r="B16" s="147" t="s">
        <v>244</v>
      </c>
      <c r="C16" s="207">
        <v>5</v>
      </c>
      <c r="D16" s="146">
        <f>ROUND(F16/F6,2)</f>
        <v>0</v>
      </c>
      <c r="E16" s="147"/>
      <c r="F16" s="146">
        <f>'пр.1+2 '!F9</f>
        <v>0</v>
      </c>
      <c r="G16" s="146">
        <f>IF(G$6=0,0,D16)</f>
        <v>0</v>
      </c>
      <c r="H16" s="146">
        <f>IF(H$6=0,0,D16)</f>
        <v>0</v>
      </c>
      <c r="I16" s="146">
        <f>IF(I$6=0,0,D16)</f>
        <v>0</v>
      </c>
      <c r="J16" s="146">
        <f>IF(J$6=0,0,D16)</f>
        <v>0</v>
      </c>
    </row>
    <row r="17" spans="1:10" s="156" customFormat="1" ht="36" customHeight="1">
      <c r="A17" s="198" t="s">
        <v>302</v>
      </c>
      <c r="B17" s="141" t="s">
        <v>244</v>
      </c>
      <c r="C17" s="196">
        <v>9</v>
      </c>
      <c r="D17" s="206">
        <f>ROUND(F17/F6,2)</f>
        <v>0</v>
      </c>
      <c r="E17" s="141"/>
      <c r="F17" s="206">
        <f>'пр.1+2 '!G9</f>
        <v>0</v>
      </c>
      <c r="G17" s="206">
        <f>IF(G$6=0,0,D17)</f>
        <v>0</v>
      </c>
      <c r="H17" s="206">
        <f>IF(H$6=0,0,D17)</f>
        <v>0</v>
      </c>
      <c r="I17" s="206">
        <f>IF(I$6=0,0,D17)</f>
        <v>0</v>
      </c>
      <c r="J17" s="206">
        <f>IF(J$6=0,0,D17)</f>
        <v>0</v>
      </c>
    </row>
    <row r="18" spans="1:10" s="156" customFormat="1" ht="21.75" customHeight="1">
      <c r="A18" s="205" t="s">
        <v>300</v>
      </c>
      <c r="B18" s="141" t="s">
        <v>244</v>
      </c>
      <c r="C18" s="141"/>
      <c r="D18" s="140">
        <f>ROUND(F18/F6,2)</f>
        <v>0</v>
      </c>
      <c r="E18" s="141"/>
      <c r="F18" s="140">
        <f>'пр.1+2 '!D13</f>
        <v>0</v>
      </c>
      <c r="G18" s="140">
        <f>IF(G$6=0,0,D18)</f>
        <v>0</v>
      </c>
      <c r="H18" s="140">
        <f>IF(H$6=0,0,D18)</f>
        <v>0</v>
      </c>
      <c r="I18" s="140">
        <f>IF(I$6=0,0,D18)</f>
        <v>0</v>
      </c>
      <c r="J18" s="140">
        <f>IF(J$6=0,0,D18)</f>
        <v>0</v>
      </c>
    </row>
    <row r="19" spans="1:10" s="156" customFormat="1" ht="21.75" customHeight="1" thickBot="1">
      <c r="A19" s="204" t="s">
        <v>139</v>
      </c>
      <c r="B19" s="194"/>
      <c r="C19" s="194"/>
      <c r="D19" s="172">
        <f>SUM(D16:D18)</f>
        <v>0</v>
      </c>
      <c r="E19" s="194"/>
      <c r="F19" s="172">
        <f>SUM(F16:F18)</f>
        <v>0</v>
      </c>
      <c r="G19" s="172">
        <f>SUM(G16:G18)</f>
        <v>0</v>
      </c>
      <c r="H19" s="172">
        <f>SUM(H16:H18)</f>
        <v>0</v>
      </c>
      <c r="I19" s="172">
        <f>SUM(I16:I18)</f>
        <v>0</v>
      </c>
      <c r="J19" s="172">
        <f>SUM(J16:J18)</f>
        <v>0</v>
      </c>
    </row>
    <row r="20" spans="1:10" s="156" customFormat="1" ht="31.5" customHeight="1" thickBot="1">
      <c r="A20" s="408" t="s">
        <v>305</v>
      </c>
      <c r="B20" s="409"/>
      <c r="C20" s="409"/>
      <c r="D20" s="409"/>
      <c r="E20" s="409"/>
      <c r="F20" s="409"/>
      <c r="G20" s="409"/>
      <c r="H20" s="409"/>
      <c r="I20" s="409"/>
      <c r="J20" s="409"/>
    </row>
    <row r="21" spans="1:10" s="156" customFormat="1" ht="36" customHeight="1">
      <c r="A21" s="200" t="s">
        <v>303</v>
      </c>
      <c r="B21" s="147" t="s">
        <v>244</v>
      </c>
      <c r="C21" s="240">
        <v>5</v>
      </c>
      <c r="D21" s="243">
        <f>ROUND(F21/F6,2)</f>
        <v>0</v>
      </c>
      <c r="E21" s="147"/>
      <c r="F21" s="237">
        <f>'пр.1+2 '!D25</f>
        <v>0</v>
      </c>
      <c r="G21" s="244">
        <f>IF(G$6=0,0,D21)</f>
        <v>0</v>
      </c>
      <c r="H21" s="244">
        <f>IF(H$6=0,0,D21)</f>
        <v>0</v>
      </c>
      <c r="I21" s="244">
        <f>IF(I$6=0,0,D21)</f>
        <v>0</v>
      </c>
      <c r="J21" s="245">
        <f>IF(J$6=0,0,D21)</f>
        <v>0</v>
      </c>
    </row>
    <row r="22" spans="1:16" s="156" customFormat="1" ht="36" customHeight="1">
      <c r="A22" s="198" t="s">
        <v>302</v>
      </c>
      <c r="B22" s="141" t="s">
        <v>244</v>
      </c>
      <c r="C22" s="241">
        <v>9</v>
      </c>
      <c r="D22" s="193">
        <f>ROUND(F22/F6,2)</f>
        <v>0</v>
      </c>
      <c r="E22" s="141"/>
      <c r="F22" s="239">
        <f>'пр.1+2 '!E25</f>
        <v>0</v>
      </c>
      <c r="G22" s="236">
        <f>IF(G$6=0,0,D22)</f>
        <v>0</v>
      </c>
      <c r="H22" s="236">
        <f>IF(H$6=0,0,D22)</f>
        <v>0</v>
      </c>
      <c r="I22" s="236">
        <f>IF(I$6=0,0,D22)</f>
        <v>0</v>
      </c>
      <c r="J22" s="246">
        <f>IF(J$6=0,0,D22)</f>
        <v>0</v>
      </c>
      <c r="M22" s="91"/>
      <c r="N22" s="91"/>
      <c r="O22" s="91"/>
      <c r="P22" s="91"/>
    </row>
    <row r="23" spans="1:16" s="156" customFormat="1" ht="21.75" customHeight="1" thickBot="1">
      <c r="A23" s="204" t="s">
        <v>139</v>
      </c>
      <c r="B23" s="194"/>
      <c r="C23" s="242"/>
      <c r="D23" s="247">
        <f>D21+D22</f>
        <v>0</v>
      </c>
      <c r="E23" s="194"/>
      <c r="F23" s="201">
        <f>SUM(F21:F22)</f>
        <v>0</v>
      </c>
      <c r="G23" s="201">
        <f>SUM(G21:G22)</f>
        <v>0</v>
      </c>
      <c r="H23" s="201">
        <f>SUM(H21:H22)</f>
        <v>0</v>
      </c>
      <c r="I23" s="201">
        <f>SUM(I21:I22)</f>
        <v>0</v>
      </c>
      <c r="J23" s="172">
        <f>SUM(J21:J22)</f>
        <v>0</v>
      </c>
      <c r="M23" s="91"/>
      <c r="N23" s="91"/>
      <c r="O23" s="91"/>
      <c r="P23" s="91"/>
    </row>
    <row r="24" spans="1:16" s="156" customFormat="1" ht="36.75" customHeight="1" thickBot="1">
      <c r="A24" s="408" t="s">
        <v>304</v>
      </c>
      <c r="B24" s="409"/>
      <c r="C24" s="409"/>
      <c r="D24" s="409"/>
      <c r="E24" s="409"/>
      <c r="F24" s="409"/>
      <c r="G24" s="409"/>
      <c r="H24" s="409"/>
      <c r="I24" s="409"/>
      <c r="J24" s="409"/>
      <c r="M24" s="91"/>
      <c r="N24" s="91"/>
      <c r="O24" s="91"/>
      <c r="P24" s="91"/>
    </row>
    <row r="25" spans="1:16" s="156" customFormat="1" ht="36" customHeight="1">
      <c r="A25" s="200" t="s">
        <v>303</v>
      </c>
      <c r="B25" s="147" t="s">
        <v>244</v>
      </c>
      <c r="C25" s="207">
        <v>5</v>
      </c>
      <c r="D25" s="237">
        <f>ROUND(F25/F6,2)</f>
        <v>13187.81</v>
      </c>
      <c r="E25" s="147"/>
      <c r="F25" s="237">
        <f>'пр.1+2 '!F38</f>
        <v>7820368.67</v>
      </c>
      <c r="G25" s="237">
        <f>IF(G6=0,0,ROUND((проверка!I16-свод!G41-свод!G27-свод!G28)/1.302,2))</f>
        <v>8639.95</v>
      </c>
      <c r="H25" s="237">
        <f>IF(H6=0,0,ROUND((проверка!J16-свод!H41-свод!H27-свод!H28)/1.302,2))</f>
        <v>16411.38</v>
      </c>
      <c r="I25" s="237">
        <f>IF(I6=0,0,ROUND((проверка!K16-свод!I41-свод!I27-свод!I28)/1.302,2))</f>
        <v>20153.63</v>
      </c>
      <c r="J25" s="146">
        <f>IF(J6=0,0,ROUND((проверка!L16-свод!J41-свод!J27-свод!J28)/1.302,2))</f>
        <v>0</v>
      </c>
      <c r="M25" s="91"/>
      <c r="N25" s="91"/>
      <c r="O25" s="91"/>
      <c r="P25" s="91"/>
    </row>
    <row r="26" spans="1:16" s="156" customFormat="1" ht="47.25" customHeight="1">
      <c r="A26" s="198" t="s">
        <v>302</v>
      </c>
      <c r="B26" s="141" t="s">
        <v>244</v>
      </c>
      <c r="C26" s="196">
        <v>9</v>
      </c>
      <c r="D26" s="238">
        <f>ROUND(F26/F6,2)</f>
        <v>3982.72</v>
      </c>
      <c r="E26" s="141"/>
      <c r="F26" s="238">
        <f>'пр.1+2 '!G38</f>
        <v>2361751</v>
      </c>
      <c r="G26" s="238">
        <f>IF(G6=0,0,проверка!I16-свод!G27-свод!G28-свод!G41-свод!G25)</f>
        <v>2609.269999999997</v>
      </c>
      <c r="H26" s="238">
        <f>IF(H6=0,0,проверка!J16-свод!H27-свод!H28-свод!H41-свод!H25)</f>
        <v>4956.239999999998</v>
      </c>
      <c r="I26" s="238">
        <f>IF(I6=0,0,проверка!K16-свод!I27-свод!I28-свод!I41-свод!I25)</f>
        <v>6086.389999999999</v>
      </c>
      <c r="J26" s="206">
        <f>IF(J6=0,0,проверка!L16-свод!J27-свод!J28-свод!J41-свод!J25)</f>
        <v>0</v>
      </c>
      <c r="N26" s="91"/>
      <c r="O26" s="91"/>
      <c r="P26" s="91"/>
    </row>
    <row r="27" spans="1:16" s="156" customFormat="1" ht="12.75">
      <c r="A27" s="198" t="s">
        <v>301</v>
      </c>
      <c r="B27" s="141" t="s">
        <v>244</v>
      </c>
      <c r="C27" s="196"/>
      <c r="D27" s="238">
        <f>ROUND(F27/F6,2)</f>
        <v>37.04</v>
      </c>
      <c r="E27" s="141"/>
      <c r="F27" s="238">
        <f>'пр.1+2 '!D42</f>
        <v>21962</v>
      </c>
      <c r="G27" s="238">
        <f>IF(G$6=0,0,D27)</f>
        <v>37.04</v>
      </c>
      <c r="H27" s="238">
        <f>IF(H$6=0,0,D27)</f>
        <v>37.04</v>
      </c>
      <c r="I27" s="238">
        <f>IF(I$6=0,0,D27)</f>
        <v>37.04</v>
      </c>
      <c r="J27" s="206">
        <f>IF(J$6=0,0,D27)</f>
        <v>0</v>
      </c>
      <c r="M27" s="91"/>
      <c r="N27" s="91"/>
      <c r="O27" s="91"/>
      <c r="P27" s="91"/>
    </row>
    <row r="28" spans="1:16" s="156" customFormat="1" ht="32.25" customHeight="1">
      <c r="A28" s="205" t="s">
        <v>300</v>
      </c>
      <c r="B28" s="141" t="s">
        <v>244</v>
      </c>
      <c r="C28" s="141"/>
      <c r="D28" s="239">
        <f>ROUND(F28/F6,2)</f>
        <v>534.9</v>
      </c>
      <c r="E28" s="141"/>
      <c r="F28" s="239">
        <f>'пр.1+2 '!D45+'пр.1+2 '!D46+'пр.1+2 '!D43+'пр.1+2 '!D44</f>
        <v>317196</v>
      </c>
      <c r="G28" s="239">
        <v>534</v>
      </c>
      <c r="H28" s="239">
        <v>534</v>
      </c>
      <c r="I28" s="239">
        <v>534</v>
      </c>
      <c r="J28" s="140">
        <f>IF(J$6=0,0,D28)</f>
        <v>0</v>
      </c>
      <c r="M28" s="91"/>
      <c r="N28" s="91"/>
      <c r="O28" s="91"/>
      <c r="P28" s="91"/>
    </row>
    <row r="29" spans="1:15" s="156" customFormat="1" ht="21.75" customHeight="1" thickBot="1">
      <c r="A29" s="204" t="s">
        <v>139</v>
      </c>
      <c r="B29" s="194"/>
      <c r="C29" s="194"/>
      <c r="D29" s="201">
        <f aca="true" t="shared" si="1" ref="D29:J29">SUM(D25:D28)</f>
        <v>17742.47</v>
      </c>
      <c r="E29" s="201">
        <f t="shared" si="1"/>
        <v>0</v>
      </c>
      <c r="F29" s="201">
        <f t="shared" si="1"/>
        <v>10521277.67</v>
      </c>
      <c r="G29" s="201">
        <f t="shared" si="1"/>
        <v>11820.259999999998</v>
      </c>
      <c r="H29" s="201">
        <f t="shared" si="1"/>
        <v>21938.66</v>
      </c>
      <c r="I29" s="201">
        <f t="shared" si="1"/>
        <v>26811.06</v>
      </c>
      <c r="J29" s="172">
        <f t="shared" si="1"/>
        <v>0</v>
      </c>
      <c r="K29" s="156">
        <f>G29*G6+H29*H6+I6*I29</f>
        <v>10521277.379999999</v>
      </c>
      <c r="L29" s="91">
        <f>K29/F6</f>
        <v>17742.457639123102</v>
      </c>
      <c r="M29" s="91"/>
      <c r="N29" s="91"/>
      <c r="O29" s="91"/>
    </row>
    <row r="30" spans="1:10" ht="21" customHeight="1">
      <c r="A30" s="403" t="s">
        <v>299</v>
      </c>
      <c r="B30" s="403"/>
      <c r="C30" s="403"/>
      <c r="D30" s="403"/>
      <c r="E30" s="403"/>
      <c r="F30" s="403"/>
      <c r="G30" s="403"/>
      <c r="H30" s="403"/>
      <c r="I30" s="403"/>
      <c r="J30" s="403"/>
    </row>
    <row r="31" spans="1:10" ht="33.75" customHeight="1" thickBot="1">
      <c r="A31" s="404" t="s">
        <v>298</v>
      </c>
      <c r="B31" s="404"/>
      <c r="C31" s="404"/>
      <c r="D31" s="404"/>
      <c r="E31" s="404"/>
      <c r="F31" s="404"/>
      <c r="G31" s="404"/>
      <c r="H31" s="404"/>
      <c r="I31" s="404"/>
      <c r="J31" s="404"/>
    </row>
    <row r="32" spans="1:10" ht="33.75" customHeight="1">
      <c r="A32" s="200" t="s">
        <v>295</v>
      </c>
      <c r="B32" s="147" t="s">
        <v>244</v>
      </c>
      <c r="C32" s="147">
        <v>5</v>
      </c>
      <c r="D32" s="147">
        <f aca="true" t="shared" si="2" ref="D32:F34">D38+D43</f>
        <v>8353.34</v>
      </c>
      <c r="E32" s="147"/>
      <c r="F32" s="203">
        <f t="shared" si="2"/>
        <v>4953529.33</v>
      </c>
      <c r="G32" s="147">
        <f>IF(G$6=0,0,D32)</f>
        <v>8353.34</v>
      </c>
      <c r="H32" s="147">
        <f>IF(H$6=0,0,D32)</f>
        <v>8353.34</v>
      </c>
      <c r="I32" s="147">
        <f>IF(I$6=0,0,D32)</f>
        <v>8353.34</v>
      </c>
      <c r="J32" s="147">
        <f>IF(J$6=0,0,D32)</f>
        <v>0</v>
      </c>
    </row>
    <row r="33" spans="1:10" ht="48" customHeight="1" hidden="1">
      <c r="A33" s="198" t="s">
        <v>295</v>
      </c>
      <c r="B33" s="141" t="s">
        <v>244</v>
      </c>
      <c r="C33" s="141">
        <v>4</v>
      </c>
      <c r="D33" s="141">
        <f t="shared" si="2"/>
        <v>0</v>
      </c>
      <c r="E33" s="141"/>
      <c r="F33" s="187">
        <f t="shared" si="2"/>
        <v>0</v>
      </c>
      <c r="G33" s="141">
        <f>IF(G$6=0,0,D33)</f>
        <v>0</v>
      </c>
      <c r="H33" s="141">
        <f>IF(H$6=0,0,D33)</f>
        <v>0</v>
      </c>
      <c r="I33" s="141">
        <f>IF(I$6=0,0,D33)</f>
        <v>0</v>
      </c>
      <c r="J33" s="141">
        <f>IF(J$6=0,0,D33)</f>
        <v>0</v>
      </c>
    </row>
    <row r="34" spans="1:10" ht="45.75" customHeight="1">
      <c r="A34" s="198" t="s">
        <v>294</v>
      </c>
      <c r="B34" s="141" t="s">
        <v>244</v>
      </c>
      <c r="C34" s="141">
        <v>9</v>
      </c>
      <c r="D34" s="141">
        <f t="shared" si="2"/>
        <v>2522.7400000000002</v>
      </c>
      <c r="E34" s="141"/>
      <c r="F34" s="202">
        <f t="shared" si="2"/>
        <v>1495984</v>
      </c>
      <c r="G34" s="141">
        <f>IF(G$6=0,0,D34)</f>
        <v>2522.7400000000002</v>
      </c>
      <c r="H34" s="141">
        <f>IF(H$6=0,0,D34)</f>
        <v>2522.7400000000002</v>
      </c>
      <c r="I34" s="141">
        <f>IF(I$6=0,0,D34)</f>
        <v>2522.7400000000002</v>
      </c>
      <c r="J34" s="141">
        <f>IF(J$6=0,0,D34)</f>
        <v>0</v>
      </c>
    </row>
    <row r="35" spans="1:10" ht="26.25" customHeight="1">
      <c r="A35" s="198" t="s">
        <v>293</v>
      </c>
      <c r="B35" s="141" t="s">
        <v>244</v>
      </c>
      <c r="C35" s="141">
        <v>12</v>
      </c>
      <c r="D35" s="141">
        <f>D46</f>
        <v>5.06</v>
      </c>
      <c r="E35" s="141"/>
      <c r="F35" s="140">
        <f>F46</f>
        <v>3000</v>
      </c>
      <c r="G35" s="141">
        <f>IF(G$6=0,0,D35)</f>
        <v>5.06</v>
      </c>
      <c r="H35" s="141">
        <f>IF(H$6=0,0,D35)</f>
        <v>5.06</v>
      </c>
      <c r="I35" s="141">
        <f>IF(I$6=0,0,D35)</f>
        <v>5.06</v>
      </c>
      <c r="J35" s="141">
        <f>IF(J$6=0,0,D35)</f>
        <v>0</v>
      </c>
    </row>
    <row r="36" spans="1:81" s="161" customFormat="1" ht="26.25" customHeight="1" thickBot="1">
      <c r="A36" s="197" t="s">
        <v>139</v>
      </c>
      <c r="B36" s="194"/>
      <c r="C36" s="194"/>
      <c r="D36" s="201">
        <f>SUM(D32:D35)</f>
        <v>10881.14</v>
      </c>
      <c r="E36" s="194"/>
      <c r="F36" s="172">
        <f>SUM(F32:F35)</f>
        <v>6452513.33</v>
      </c>
      <c r="G36" s="201">
        <f>SUM(G32:G35)</f>
        <v>10881.14</v>
      </c>
      <c r="H36" s="201">
        <f>SUM(H32:H35)</f>
        <v>10881.14</v>
      </c>
      <c r="I36" s="201">
        <f>SUM(I32:I35)</f>
        <v>10881.14</v>
      </c>
      <c r="J36" s="201">
        <f>SUM(J32:J35)</f>
        <v>0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</row>
    <row r="37" spans="1:16" ht="48" customHeight="1" thickBot="1">
      <c r="A37" s="417" t="s">
        <v>297</v>
      </c>
      <c r="B37" s="417"/>
      <c r="C37" s="417"/>
      <c r="D37" s="417"/>
      <c r="E37" s="417"/>
      <c r="F37" s="417"/>
      <c r="G37" s="417"/>
      <c r="H37" s="417"/>
      <c r="I37" s="417"/>
      <c r="J37" s="417"/>
      <c r="K37" s="91">
        <f>K38+K40+G27+G28</f>
        <v>20886.14</v>
      </c>
      <c r="L37" s="91">
        <f>L38+L40+H27+H28</f>
        <v>31004.54</v>
      </c>
      <c r="M37" s="91">
        <f>M38+M40+I27+I28</f>
        <v>35876.94</v>
      </c>
      <c r="N37" s="91">
        <f>K37-проверка!I16</f>
        <v>0</v>
      </c>
      <c r="O37" s="91">
        <f>L37-проверка!J16</f>
        <v>0</v>
      </c>
      <c r="P37" s="91">
        <f>M37-проверка!K16</f>
        <v>0</v>
      </c>
    </row>
    <row r="38" spans="1:13" ht="38.25" customHeight="1">
      <c r="A38" s="200" t="s">
        <v>295</v>
      </c>
      <c r="B38" s="147" t="s">
        <v>244</v>
      </c>
      <c r="C38" s="147">
        <v>5</v>
      </c>
      <c r="D38" s="147">
        <f>ROUND(F38/F6,2)</f>
        <v>6963.04</v>
      </c>
      <c r="E38" s="147">
        <v>1</v>
      </c>
      <c r="F38" s="147">
        <f>'пр.1+2 '!F75</f>
        <v>4129081.33</v>
      </c>
      <c r="G38" s="147">
        <f>IF(G$6=0,0,D38)</f>
        <v>6963.04</v>
      </c>
      <c r="H38" s="147">
        <f>IF(H$6=0,0,D38)</f>
        <v>6963.04</v>
      </c>
      <c r="I38" s="147">
        <f>IF(I$6=0,0,D38)</f>
        <v>6963.04</v>
      </c>
      <c r="J38" s="147">
        <f>IF(J$6=0,0,D38)</f>
        <v>0</v>
      </c>
      <c r="K38" s="91">
        <f aca="true" t="shared" si="3" ref="K38:M39">G38+G25</f>
        <v>15602.990000000002</v>
      </c>
      <c r="L38" s="91">
        <f t="shared" si="3"/>
        <v>23374.420000000002</v>
      </c>
      <c r="M38" s="91">
        <f t="shared" si="3"/>
        <v>27116.670000000002</v>
      </c>
    </row>
    <row r="39" spans="1:13" ht="48" customHeight="1" hidden="1">
      <c r="A39" s="199" t="s">
        <v>295</v>
      </c>
      <c r="B39" s="141" t="s">
        <v>244</v>
      </c>
      <c r="C39" s="196">
        <v>4</v>
      </c>
      <c r="D39" s="178"/>
      <c r="E39" s="141"/>
      <c r="F39" s="178"/>
      <c r="G39" s="178">
        <f>IF(G$6=0,0,D39)</f>
        <v>0</v>
      </c>
      <c r="H39" s="178">
        <f>IF(H$6=0,0,D39)</f>
        <v>0</v>
      </c>
      <c r="I39" s="178">
        <f>IF(I$6=0,0,D39)</f>
        <v>0</v>
      </c>
      <c r="J39" s="178">
        <f>IF(J$6=0,0,D39)</f>
        <v>0</v>
      </c>
      <c r="K39" s="91">
        <f t="shared" si="3"/>
        <v>2609.269999999997</v>
      </c>
      <c r="L39" s="91">
        <f t="shared" si="3"/>
        <v>4956.239999999998</v>
      </c>
      <c r="M39" s="91">
        <f t="shared" si="3"/>
        <v>6086.389999999999</v>
      </c>
    </row>
    <row r="40" spans="1:13" ht="45.75" customHeight="1">
      <c r="A40" s="199" t="s">
        <v>294</v>
      </c>
      <c r="B40" s="141" t="s">
        <v>244</v>
      </c>
      <c r="C40" s="196">
        <v>9</v>
      </c>
      <c r="D40" s="178">
        <f>ROUND(F40/F6,2)</f>
        <v>2102.84</v>
      </c>
      <c r="E40" s="141">
        <v>1</v>
      </c>
      <c r="F40" s="178">
        <f>'пр.1+2 '!G75</f>
        <v>1246983</v>
      </c>
      <c r="G40" s="178">
        <f>IF(G$6=0,0,D40)</f>
        <v>2102.84</v>
      </c>
      <c r="H40" s="178">
        <f>IF(H$6=0,0,D40)</f>
        <v>2102.84</v>
      </c>
      <c r="I40" s="178">
        <f>IF(I$6=0,0,D40)</f>
        <v>2102.84</v>
      </c>
      <c r="J40" s="178">
        <f>IF(J$6=0,0,D40)</f>
        <v>0</v>
      </c>
      <c r="K40" s="91">
        <f>G40+G26</f>
        <v>4712.109999999997</v>
      </c>
      <c r="L40" s="91">
        <f>H40+H26</f>
        <v>7059.079999999998</v>
      </c>
      <c r="M40" s="91">
        <f>I40+I26</f>
        <v>8189.23</v>
      </c>
    </row>
    <row r="41" spans="1:81" s="161" customFormat="1" ht="26.25" customHeight="1" thickBot="1">
      <c r="A41" s="197" t="s">
        <v>139</v>
      </c>
      <c r="B41" s="194"/>
      <c r="C41" s="194"/>
      <c r="D41" s="172">
        <f>SUM(D38:D40)</f>
        <v>9065.880000000001</v>
      </c>
      <c r="E41" s="194"/>
      <c r="F41" s="172">
        <f>SUM(F38:F40)</f>
        <v>5376064.33</v>
      </c>
      <c r="G41" s="172">
        <f>SUM(G38:G40)</f>
        <v>9065.880000000001</v>
      </c>
      <c r="H41" s="172">
        <f>SUM(H38:H40)</f>
        <v>9065.880000000001</v>
      </c>
      <c r="I41" s="172">
        <f>SUM(I38:I40)</f>
        <v>9065.880000000001</v>
      </c>
      <c r="J41" s="172">
        <f>SUM(J38:J40)</f>
        <v>0</v>
      </c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</row>
    <row r="42" spans="1:10" ht="48" customHeight="1" thickBot="1">
      <c r="A42" s="417" t="s">
        <v>296</v>
      </c>
      <c r="B42" s="417"/>
      <c r="C42" s="417"/>
      <c r="D42" s="417"/>
      <c r="E42" s="417"/>
      <c r="F42" s="417"/>
      <c r="G42" s="417"/>
      <c r="H42" s="417"/>
      <c r="I42" s="417"/>
      <c r="J42" s="417"/>
    </row>
    <row r="43" spans="1:10" ht="34.5" customHeight="1">
      <c r="A43" s="200" t="s">
        <v>295</v>
      </c>
      <c r="B43" s="147" t="s">
        <v>244</v>
      </c>
      <c r="C43" s="147">
        <v>5</v>
      </c>
      <c r="D43" s="147">
        <f>ROUND(F43/F6,2)</f>
        <v>1390.3</v>
      </c>
      <c r="E43" s="147">
        <v>1</v>
      </c>
      <c r="F43" s="146">
        <f>'пр.1+2 '!F61</f>
        <v>824448</v>
      </c>
      <c r="G43" s="147">
        <f>IF(G$6=0,0,D43)</f>
        <v>1390.3</v>
      </c>
      <c r="H43" s="147">
        <f>IF(H$6=0,0,D43)</f>
        <v>1390.3</v>
      </c>
      <c r="I43" s="147">
        <f>IF(I$6=0,0,D43)</f>
        <v>1390.3</v>
      </c>
      <c r="J43" s="147">
        <f>IF(J$6=0,0,D43)</f>
        <v>0</v>
      </c>
    </row>
    <row r="44" spans="1:10" ht="48" customHeight="1" hidden="1">
      <c r="A44" s="199" t="s">
        <v>295</v>
      </c>
      <c r="B44" s="141" t="s">
        <v>244</v>
      </c>
      <c r="C44" s="196">
        <v>4</v>
      </c>
      <c r="D44" s="178"/>
      <c r="E44" s="141"/>
      <c r="F44" s="140"/>
      <c r="G44" s="178">
        <f>IF(G$6=0,0,D44)</f>
        <v>0</v>
      </c>
      <c r="H44" s="178">
        <f>IF(H$6=0,0,D44)</f>
        <v>0</v>
      </c>
      <c r="I44" s="178">
        <f>IF(I$6=0,0,D44)</f>
        <v>0</v>
      </c>
      <c r="J44" s="178">
        <f>IF(J$6=0,0,D44)</f>
        <v>0</v>
      </c>
    </row>
    <row r="45" spans="1:10" ht="48" customHeight="1">
      <c r="A45" s="199" t="s">
        <v>294</v>
      </c>
      <c r="B45" s="141" t="s">
        <v>244</v>
      </c>
      <c r="C45" s="196">
        <v>9</v>
      </c>
      <c r="D45" s="178">
        <f>ROUND(F45/F6,2)</f>
        <v>419.9</v>
      </c>
      <c r="E45" s="141">
        <v>1</v>
      </c>
      <c r="F45" s="140">
        <f>'пр.1+2 '!G61</f>
        <v>249001</v>
      </c>
      <c r="G45" s="178">
        <f>IF(G$6=0,0,D45)</f>
        <v>419.9</v>
      </c>
      <c r="H45" s="178">
        <f>IF(H$6=0,0,D45)</f>
        <v>419.9</v>
      </c>
      <c r="I45" s="178">
        <f>IF(I$6=0,0,D45)</f>
        <v>419.9</v>
      </c>
      <c r="J45" s="178">
        <f>IF(J$6=0,0,D45)</f>
        <v>0</v>
      </c>
    </row>
    <row r="46" spans="1:10" ht="26.25" customHeight="1">
      <c r="A46" s="198" t="s">
        <v>293</v>
      </c>
      <c r="B46" s="141" t="s">
        <v>244</v>
      </c>
      <c r="C46" s="196">
        <v>12</v>
      </c>
      <c r="D46" s="178">
        <f>ROUND(F46/F6,2)</f>
        <v>5.06</v>
      </c>
      <c r="E46" s="141">
        <v>1</v>
      </c>
      <c r="F46" s="140">
        <f>'пр.1+2 '!D64</f>
        <v>3000</v>
      </c>
      <c r="G46" s="178">
        <f>IF(G$6=0,0,D46)</f>
        <v>5.06</v>
      </c>
      <c r="H46" s="178">
        <f>IF(H$6=0,0,D46)</f>
        <v>5.06</v>
      </c>
      <c r="I46" s="178">
        <f>IF(I$6=0,0,D46)</f>
        <v>5.06</v>
      </c>
      <c r="J46" s="178">
        <f>IF(J$6=0,0,D46)</f>
        <v>0</v>
      </c>
    </row>
    <row r="47" spans="1:81" s="161" customFormat="1" ht="20.25" customHeight="1" thickBot="1">
      <c r="A47" s="197" t="s">
        <v>139</v>
      </c>
      <c r="B47" s="194"/>
      <c r="C47" s="194"/>
      <c r="D47" s="172">
        <f>SUM(D43:D46)</f>
        <v>1815.2599999999998</v>
      </c>
      <c r="E47" s="194"/>
      <c r="F47" s="172">
        <f>SUM(F43:F46)</f>
        <v>1076449</v>
      </c>
      <c r="G47" s="172">
        <f>SUM(G43:G46)</f>
        <v>1815.2599999999998</v>
      </c>
      <c r="H47" s="172">
        <f>SUM(H43:H46)</f>
        <v>1815.2599999999998</v>
      </c>
      <c r="I47" s="172">
        <f>SUM(I43:I46)</f>
        <v>1815.2599999999998</v>
      </c>
      <c r="J47" s="172">
        <f>SUM(J43:J46)</f>
        <v>0</v>
      </c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</row>
    <row r="48" spans="1:10" ht="21.75" customHeight="1" thickBot="1">
      <c r="A48" s="410" t="s">
        <v>292</v>
      </c>
      <c r="B48" s="411"/>
      <c r="C48" s="411"/>
      <c r="D48" s="411"/>
      <c r="E48" s="411"/>
      <c r="F48" s="411"/>
      <c r="G48" s="411"/>
      <c r="H48" s="411"/>
      <c r="I48" s="411"/>
      <c r="J48" s="411"/>
    </row>
    <row r="49" spans="1:10" ht="12.75">
      <c r="A49" s="32" t="s">
        <v>291</v>
      </c>
      <c r="B49" s="147" t="s">
        <v>244</v>
      </c>
      <c r="C49" s="147">
        <v>12</v>
      </c>
      <c r="D49" s="147">
        <f>ROUND(F49/F6,2)</f>
        <v>154.75</v>
      </c>
      <c r="E49" s="147"/>
      <c r="F49" s="146">
        <f>'пр.3'!F6+'пр.3'!F7+'пр.3'!F8</f>
        <v>91767.6</v>
      </c>
      <c r="G49" s="147">
        <f aca="true" t="shared" si="4" ref="G49:G66">IF(G$6=0,0,D49)</f>
        <v>154.75</v>
      </c>
      <c r="H49" s="147">
        <f aca="true" t="shared" si="5" ref="H49:H66">IF(H$6=0,0,D49)</f>
        <v>154.75</v>
      </c>
      <c r="I49" s="147">
        <f aca="true" t="shared" si="6" ref="I49:I66">IF(I$6=0,0,D49)</f>
        <v>154.75</v>
      </c>
      <c r="J49" s="147">
        <f aca="true" t="shared" si="7" ref="J49:J66">IF(J$6=0,0,D49)</f>
        <v>0</v>
      </c>
    </row>
    <row r="50" spans="1:10" ht="25.5">
      <c r="A50" s="27" t="s">
        <v>290</v>
      </c>
      <c r="B50" s="141" t="s">
        <v>244</v>
      </c>
      <c r="C50" s="141">
        <v>12</v>
      </c>
      <c r="D50" s="178">
        <f>ROUND(F50/F6,2)</f>
        <v>5.2</v>
      </c>
      <c r="E50" s="141"/>
      <c r="F50" s="140">
        <f>'пр.3'!F9</f>
        <v>3082.2</v>
      </c>
      <c r="G50" s="178">
        <f t="shared" si="4"/>
        <v>5.2</v>
      </c>
      <c r="H50" s="178">
        <f t="shared" si="5"/>
        <v>5.2</v>
      </c>
      <c r="I50" s="178">
        <f t="shared" si="6"/>
        <v>5.2</v>
      </c>
      <c r="J50" s="178">
        <f t="shared" si="7"/>
        <v>0</v>
      </c>
    </row>
    <row r="51" spans="1:10" ht="12.75">
      <c r="A51" s="27" t="s">
        <v>289</v>
      </c>
      <c r="B51" s="141" t="s">
        <v>244</v>
      </c>
      <c r="C51" s="141">
        <v>12</v>
      </c>
      <c r="D51" s="178">
        <f>ROUND(F51/F6,2)</f>
        <v>26.71</v>
      </c>
      <c r="E51" s="141"/>
      <c r="F51" s="140">
        <f>'пр.3'!F10</f>
        <v>15840</v>
      </c>
      <c r="G51" s="178">
        <f t="shared" si="4"/>
        <v>26.71</v>
      </c>
      <c r="H51" s="178">
        <f t="shared" si="5"/>
        <v>26.71</v>
      </c>
      <c r="I51" s="178">
        <f t="shared" si="6"/>
        <v>26.71</v>
      </c>
      <c r="J51" s="178">
        <f t="shared" si="7"/>
        <v>0</v>
      </c>
    </row>
    <row r="52" spans="1:10" ht="36">
      <c r="A52" s="72" t="s">
        <v>363</v>
      </c>
      <c r="B52" s="141" t="s">
        <v>244</v>
      </c>
      <c r="C52" s="141"/>
      <c r="D52" s="178">
        <f>ROUND(F52/F6,2)</f>
        <v>0</v>
      </c>
      <c r="E52" s="141"/>
      <c r="F52" s="140">
        <f>'пр.3'!F11</f>
        <v>0</v>
      </c>
      <c r="G52" s="178">
        <f t="shared" si="4"/>
        <v>0</v>
      </c>
      <c r="H52" s="178">
        <f t="shared" si="5"/>
        <v>0</v>
      </c>
      <c r="I52" s="178">
        <f t="shared" si="6"/>
        <v>0</v>
      </c>
      <c r="J52" s="178">
        <f t="shared" si="7"/>
        <v>0</v>
      </c>
    </row>
    <row r="53" spans="1:10" ht="25.5">
      <c r="A53" s="27" t="s">
        <v>288</v>
      </c>
      <c r="B53" s="141" t="s">
        <v>244</v>
      </c>
      <c r="C53" s="141">
        <v>12</v>
      </c>
      <c r="D53" s="178">
        <f>ROUND(F53/F6,2)</f>
        <v>54.31</v>
      </c>
      <c r="E53" s="141"/>
      <c r="F53" s="140">
        <f>'пр.3'!F12</f>
        <v>32208</v>
      </c>
      <c r="G53" s="178">
        <f t="shared" si="4"/>
        <v>54.31</v>
      </c>
      <c r="H53" s="178">
        <f t="shared" si="5"/>
        <v>54.31</v>
      </c>
      <c r="I53" s="178">
        <f t="shared" si="6"/>
        <v>54.31</v>
      </c>
      <c r="J53" s="178">
        <f t="shared" si="7"/>
        <v>0</v>
      </c>
    </row>
    <row r="54" spans="1:10" ht="12.75">
      <c r="A54" s="27" t="s">
        <v>287</v>
      </c>
      <c r="B54" s="141" t="s">
        <v>244</v>
      </c>
      <c r="C54" s="141">
        <v>12</v>
      </c>
      <c r="D54" s="178">
        <f>ROUND(F54/F6,2)</f>
        <v>21.63</v>
      </c>
      <c r="E54" s="141"/>
      <c r="F54" s="140">
        <f>'пр.3'!F16</f>
        <v>12824.64</v>
      </c>
      <c r="G54" s="178">
        <f t="shared" si="4"/>
        <v>21.63</v>
      </c>
      <c r="H54" s="178">
        <f t="shared" si="5"/>
        <v>21.63</v>
      </c>
      <c r="I54" s="178">
        <f t="shared" si="6"/>
        <v>21.63</v>
      </c>
      <c r="J54" s="178">
        <f t="shared" si="7"/>
        <v>0</v>
      </c>
    </row>
    <row r="55" spans="1:10" ht="12.75">
      <c r="A55" s="72" t="s">
        <v>366</v>
      </c>
      <c r="B55" s="141" t="s">
        <v>244</v>
      </c>
      <c r="C55" s="141">
        <v>12</v>
      </c>
      <c r="D55" s="178">
        <f>ROUND(F55/F6,2)</f>
        <v>0</v>
      </c>
      <c r="E55" s="141"/>
      <c r="F55" s="140">
        <f>'пр.3'!F17</f>
        <v>0</v>
      </c>
      <c r="G55" s="178">
        <f t="shared" si="4"/>
        <v>0</v>
      </c>
      <c r="H55" s="178">
        <f t="shared" si="5"/>
        <v>0</v>
      </c>
      <c r="I55" s="178">
        <f t="shared" si="6"/>
        <v>0</v>
      </c>
      <c r="J55" s="178">
        <f t="shared" si="7"/>
        <v>0</v>
      </c>
    </row>
    <row r="56" spans="1:10" ht="12.75">
      <c r="A56" s="72" t="s">
        <v>343</v>
      </c>
      <c r="B56" s="141" t="s">
        <v>244</v>
      </c>
      <c r="C56" s="141">
        <v>12</v>
      </c>
      <c r="D56" s="178">
        <f>ROUND(F56/F6,2)</f>
        <v>30.35</v>
      </c>
      <c r="E56" s="141"/>
      <c r="F56" s="140">
        <f>'пр.3'!F13</f>
        <v>18000</v>
      </c>
      <c r="G56" s="178">
        <f t="shared" si="4"/>
        <v>30.35</v>
      </c>
      <c r="H56" s="178">
        <f t="shared" si="5"/>
        <v>30.35</v>
      </c>
      <c r="I56" s="178">
        <f t="shared" si="6"/>
        <v>30.35</v>
      </c>
      <c r="J56" s="178">
        <f t="shared" si="7"/>
        <v>0</v>
      </c>
    </row>
    <row r="57" spans="1:10" ht="25.5" hidden="1">
      <c r="A57" s="27" t="str">
        <f>'пр.3'!A15</f>
        <v>поверка ремонт теплосчетчиков</v>
      </c>
      <c r="B57" s="141" t="s">
        <v>244</v>
      </c>
      <c r="C57" s="141">
        <v>12</v>
      </c>
      <c r="D57" s="178">
        <f>ROUND(F57/F6,2)</f>
        <v>0</v>
      </c>
      <c r="E57" s="141"/>
      <c r="F57" s="140">
        <f>'пр.3'!F15</f>
        <v>0</v>
      </c>
      <c r="G57" s="178">
        <f t="shared" si="4"/>
        <v>0</v>
      </c>
      <c r="H57" s="178">
        <f t="shared" si="5"/>
        <v>0</v>
      </c>
      <c r="I57" s="178">
        <f t="shared" si="6"/>
        <v>0</v>
      </c>
      <c r="J57" s="178">
        <f t="shared" si="7"/>
        <v>0</v>
      </c>
    </row>
    <row r="58" spans="1:10" ht="25.5">
      <c r="A58" s="27" t="s">
        <v>191</v>
      </c>
      <c r="B58" s="141" t="s">
        <v>244</v>
      </c>
      <c r="C58" s="141"/>
      <c r="D58" s="178">
        <f>ROUND(F58/F6,2)</f>
        <v>22.26</v>
      </c>
      <c r="E58" s="141"/>
      <c r="F58" s="140">
        <f>'пр.3'!F22</f>
        <v>13200</v>
      </c>
      <c r="G58" s="178">
        <f t="shared" si="4"/>
        <v>22.26</v>
      </c>
      <c r="H58" s="178">
        <f t="shared" si="5"/>
        <v>22.26</v>
      </c>
      <c r="I58" s="178">
        <f t="shared" si="6"/>
        <v>22.26</v>
      </c>
      <c r="J58" s="178">
        <f t="shared" si="7"/>
        <v>0</v>
      </c>
    </row>
    <row r="59" spans="1:10" ht="12.75">
      <c r="A59" s="27" t="s">
        <v>286</v>
      </c>
      <c r="B59" s="141" t="s">
        <v>244</v>
      </c>
      <c r="C59" s="141"/>
      <c r="D59" s="178">
        <f>ROUND(F59/F6,2)</f>
        <v>32.48</v>
      </c>
      <c r="E59" s="141"/>
      <c r="F59" s="140">
        <f>'пр.3'!F25</f>
        <v>19263.12</v>
      </c>
      <c r="G59" s="178">
        <f t="shared" si="4"/>
        <v>32.48</v>
      </c>
      <c r="H59" s="178">
        <f t="shared" si="5"/>
        <v>32.48</v>
      </c>
      <c r="I59" s="178">
        <f t="shared" si="6"/>
        <v>32.48</v>
      </c>
      <c r="J59" s="178">
        <f t="shared" si="7"/>
        <v>0</v>
      </c>
    </row>
    <row r="60" spans="1:10" ht="12.75" hidden="1">
      <c r="A60" s="72" t="s">
        <v>195</v>
      </c>
      <c r="B60" s="141" t="s">
        <v>244</v>
      </c>
      <c r="C60" s="141"/>
      <c r="D60" s="178">
        <f>ROUND(F60/F6,2)</f>
        <v>0</v>
      </c>
      <c r="E60" s="141"/>
      <c r="F60" s="140"/>
      <c r="G60" s="178">
        <f t="shared" si="4"/>
        <v>0</v>
      </c>
      <c r="H60" s="178">
        <f t="shared" si="5"/>
        <v>0</v>
      </c>
      <c r="I60" s="178">
        <f t="shared" si="6"/>
        <v>0</v>
      </c>
      <c r="J60" s="178">
        <f t="shared" si="7"/>
        <v>0</v>
      </c>
    </row>
    <row r="61" spans="1:10" ht="12.75">
      <c r="A61" s="72" t="s">
        <v>194</v>
      </c>
      <c r="B61" s="141" t="s">
        <v>244</v>
      </c>
      <c r="C61" s="141"/>
      <c r="D61" s="178">
        <f>ROUND(F61/F6,2)</f>
        <v>0.51</v>
      </c>
      <c r="E61" s="141"/>
      <c r="F61" s="140">
        <f>'пр.3'!F18</f>
        <v>303.08</v>
      </c>
      <c r="G61" s="178">
        <f t="shared" si="4"/>
        <v>0.51</v>
      </c>
      <c r="H61" s="178">
        <f t="shared" si="5"/>
        <v>0.51</v>
      </c>
      <c r="I61" s="178">
        <f t="shared" si="6"/>
        <v>0.51</v>
      </c>
      <c r="J61" s="178">
        <f t="shared" si="7"/>
        <v>0</v>
      </c>
    </row>
    <row r="62" spans="1:10" ht="12.75" hidden="1">
      <c r="A62" s="27" t="s">
        <v>189</v>
      </c>
      <c r="B62" s="141" t="s">
        <v>244</v>
      </c>
      <c r="C62" s="141"/>
      <c r="D62" s="178">
        <f>ROUND(F62/F6,2)</f>
        <v>0</v>
      </c>
      <c r="E62" s="141"/>
      <c r="F62" s="140">
        <f>'пр.3'!F24</f>
        <v>0</v>
      </c>
      <c r="G62" s="178">
        <f t="shared" si="4"/>
        <v>0</v>
      </c>
      <c r="H62" s="178">
        <f t="shared" si="5"/>
        <v>0</v>
      </c>
      <c r="I62" s="178">
        <f t="shared" si="6"/>
        <v>0</v>
      </c>
      <c r="J62" s="178">
        <f t="shared" si="7"/>
        <v>0</v>
      </c>
    </row>
    <row r="63" spans="1:10" ht="12.75" hidden="1">
      <c r="A63" s="27" t="s">
        <v>285</v>
      </c>
      <c r="B63" s="141" t="s">
        <v>244</v>
      </c>
      <c r="C63" s="141"/>
      <c r="D63" s="178">
        <f>ROUND(F63/F6,2)</f>
        <v>0</v>
      </c>
      <c r="E63" s="141"/>
      <c r="F63" s="140">
        <f>'пр.3'!F14</f>
        <v>0</v>
      </c>
      <c r="G63" s="178">
        <f t="shared" si="4"/>
        <v>0</v>
      </c>
      <c r="H63" s="178">
        <f t="shared" si="5"/>
        <v>0</v>
      </c>
      <c r="I63" s="178">
        <f t="shared" si="6"/>
        <v>0</v>
      </c>
      <c r="J63" s="178">
        <f t="shared" si="7"/>
        <v>0</v>
      </c>
    </row>
    <row r="64" spans="1:10" ht="12.75">
      <c r="A64" s="72" t="s">
        <v>345</v>
      </c>
      <c r="B64" s="141" t="s">
        <v>244</v>
      </c>
      <c r="C64" s="188"/>
      <c r="D64" s="178">
        <f>ROUND(F64/F6,2)</f>
        <v>0</v>
      </c>
      <c r="E64" s="141"/>
      <c r="F64" s="140">
        <f>'пр.3'!F20</f>
        <v>0</v>
      </c>
      <c r="G64" s="178">
        <f t="shared" si="4"/>
        <v>0</v>
      </c>
      <c r="H64" s="178">
        <f t="shared" si="5"/>
        <v>0</v>
      </c>
      <c r="I64" s="178">
        <f t="shared" si="6"/>
        <v>0</v>
      </c>
      <c r="J64" s="178">
        <f t="shared" si="7"/>
        <v>0</v>
      </c>
    </row>
    <row r="65" spans="1:10" ht="12.75">
      <c r="A65" s="86" t="s">
        <v>190</v>
      </c>
      <c r="B65" s="141" t="s">
        <v>244</v>
      </c>
      <c r="C65" s="185"/>
      <c r="D65" s="178">
        <f>ROUND(F65/F6,2)</f>
        <v>0</v>
      </c>
      <c r="E65" s="196"/>
      <c r="F65" s="195">
        <f>'пр.3'!F23</f>
        <v>0</v>
      </c>
      <c r="G65" s="178">
        <f t="shared" si="4"/>
        <v>0</v>
      </c>
      <c r="H65" s="178">
        <f t="shared" si="5"/>
        <v>0</v>
      </c>
      <c r="I65" s="178">
        <f t="shared" si="6"/>
        <v>0</v>
      </c>
      <c r="J65" s="178">
        <f t="shared" si="7"/>
        <v>0</v>
      </c>
    </row>
    <row r="66" spans="1:16" ht="12.75">
      <c r="A66" s="72" t="s">
        <v>193</v>
      </c>
      <c r="B66" s="141" t="s">
        <v>244</v>
      </c>
      <c r="C66" s="185"/>
      <c r="D66" s="178">
        <f>ROUND(F66/F6,2)</f>
        <v>4.22</v>
      </c>
      <c r="E66" s="196"/>
      <c r="F66" s="195">
        <f>'пр.3'!F19</f>
        <v>2500</v>
      </c>
      <c r="G66" s="178">
        <f t="shared" si="4"/>
        <v>4.22</v>
      </c>
      <c r="H66" s="178">
        <f t="shared" si="5"/>
        <v>4.22</v>
      </c>
      <c r="I66" s="178">
        <f t="shared" si="6"/>
        <v>4.22</v>
      </c>
      <c r="J66" s="178">
        <f t="shared" si="7"/>
        <v>0</v>
      </c>
      <c r="M66" s="90"/>
      <c r="N66" s="90"/>
      <c r="O66" s="90"/>
      <c r="P66" s="90"/>
    </row>
    <row r="67" spans="1:81" s="161" customFormat="1" ht="13.5" thickBot="1">
      <c r="A67" s="174" t="s">
        <v>139</v>
      </c>
      <c r="B67" s="173"/>
      <c r="C67" s="173"/>
      <c r="D67" s="172">
        <f>SUM(D49:D66)-0.01</f>
        <v>352.4100000000001</v>
      </c>
      <c r="E67" s="194"/>
      <c r="F67" s="172">
        <f>F49+F50+F51+F52+F53+F54+F55+F56+F58+F59+F61+F64+F65+F66</f>
        <v>208988.63999999998</v>
      </c>
      <c r="G67" s="172">
        <f>SUM(G49:G66)</f>
        <v>352.4200000000001</v>
      </c>
      <c r="H67" s="172">
        <f>SUM(H49:H66)</f>
        <v>352.4200000000001</v>
      </c>
      <c r="I67" s="172">
        <f>SUM(I49:I66)</f>
        <v>352.4200000000001</v>
      </c>
      <c r="J67" s="172">
        <f>SUM(J49:J66)</f>
        <v>0</v>
      </c>
      <c r="K67" s="91"/>
      <c r="L67" s="91"/>
      <c r="M67" s="90"/>
      <c r="N67" s="90"/>
      <c r="O67" s="90"/>
      <c r="P67" s="90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</row>
    <row r="68" spans="1:16" ht="18" customHeight="1" thickBot="1">
      <c r="A68" s="410" t="s">
        <v>284</v>
      </c>
      <c r="B68" s="411"/>
      <c r="C68" s="411"/>
      <c r="D68" s="411"/>
      <c r="E68" s="411"/>
      <c r="F68" s="411"/>
      <c r="G68" s="411"/>
      <c r="H68" s="411"/>
      <c r="I68" s="411"/>
      <c r="J68" s="411"/>
      <c r="M68" s="90"/>
      <c r="N68" s="90"/>
      <c r="O68" s="90"/>
      <c r="P68" s="90"/>
    </row>
    <row r="69" spans="1:16" ht="12.75">
      <c r="A69" s="150" t="s">
        <v>283</v>
      </c>
      <c r="B69" s="147" t="s">
        <v>244</v>
      </c>
      <c r="C69" s="147">
        <v>12</v>
      </c>
      <c r="D69" s="147">
        <f>ROUND(F69/F6,2)</f>
        <v>25.35</v>
      </c>
      <c r="E69" s="147"/>
      <c r="F69" s="189">
        <f>'пр.3'!F33+'пр.3'!F35+'пр.3'!F36+'пр.3'!F32+'пр.3'!F34</f>
        <v>15035</v>
      </c>
      <c r="G69" s="147">
        <f>IF(G$6=0,0,D69)</f>
        <v>25.35</v>
      </c>
      <c r="H69" s="147">
        <f>IF(H$6=0,0,D69)</f>
        <v>25.35</v>
      </c>
      <c r="I69" s="147">
        <f>IF(I$6=0,0,D69)</f>
        <v>25.35</v>
      </c>
      <c r="J69" s="147">
        <f>IF(J$6=0,0,D69)</f>
        <v>0</v>
      </c>
      <c r="M69" s="90"/>
      <c r="N69" s="90"/>
      <c r="O69" s="90"/>
      <c r="P69" s="90"/>
    </row>
    <row r="70" spans="1:16" ht="51" hidden="1">
      <c r="A70" s="144" t="s">
        <v>282</v>
      </c>
      <c r="B70" s="188"/>
      <c r="C70" s="188"/>
      <c r="D70" s="188"/>
      <c r="E70" s="188"/>
      <c r="F70" s="192"/>
      <c r="G70" s="231"/>
      <c r="H70" s="231"/>
      <c r="I70" s="231"/>
      <c r="J70" s="231"/>
      <c r="M70" s="90"/>
      <c r="N70" s="90"/>
      <c r="O70" s="90"/>
      <c r="P70" s="90"/>
    </row>
    <row r="71" spans="1:16" ht="38.25" hidden="1">
      <c r="A71" s="144" t="s">
        <v>281</v>
      </c>
      <c r="B71" s="188"/>
      <c r="C71" s="188"/>
      <c r="D71" s="188"/>
      <c r="E71" s="188"/>
      <c r="F71" s="192"/>
      <c r="G71" s="231"/>
      <c r="H71" s="231"/>
      <c r="I71" s="231"/>
      <c r="J71" s="231"/>
      <c r="M71" s="90"/>
      <c r="N71" s="90"/>
      <c r="O71" s="90"/>
      <c r="P71" s="90"/>
    </row>
    <row r="72" spans="1:16" ht="38.25" hidden="1">
      <c r="A72" s="144" t="s">
        <v>280</v>
      </c>
      <c r="B72" s="188"/>
      <c r="C72" s="188"/>
      <c r="D72" s="188"/>
      <c r="E72" s="188"/>
      <c r="F72" s="192"/>
      <c r="G72" s="231"/>
      <c r="H72" s="231"/>
      <c r="I72" s="231"/>
      <c r="J72" s="231"/>
      <c r="M72" s="90"/>
      <c r="N72" s="90"/>
      <c r="O72" s="90"/>
      <c r="P72" s="90"/>
    </row>
    <row r="73" spans="1:16" ht="38.25" hidden="1">
      <c r="A73" s="144" t="s">
        <v>279</v>
      </c>
      <c r="B73" s="188"/>
      <c r="C73" s="188"/>
      <c r="D73" s="188"/>
      <c r="E73" s="188"/>
      <c r="F73" s="192"/>
      <c r="G73" s="231"/>
      <c r="H73" s="231"/>
      <c r="I73" s="231"/>
      <c r="J73" s="231"/>
      <c r="M73" s="90"/>
      <c r="N73" s="90"/>
      <c r="O73" s="90"/>
      <c r="P73" s="90"/>
    </row>
    <row r="74" spans="1:16" ht="51" hidden="1">
      <c r="A74" s="144" t="s">
        <v>278</v>
      </c>
      <c r="B74" s="188"/>
      <c r="C74" s="188"/>
      <c r="D74" s="188"/>
      <c r="E74" s="188"/>
      <c r="F74" s="192"/>
      <c r="G74" s="231"/>
      <c r="H74" s="231"/>
      <c r="I74" s="231"/>
      <c r="J74" s="231"/>
      <c r="M74" s="90"/>
      <c r="N74" s="90"/>
      <c r="O74" s="90"/>
      <c r="P74" s="90"/>
    </row>
    <row r="75" spans="1:16" ht="31.5" customHeight="1" hidden="1">
      <c r="A75" s="397" t="s">
        <v>277</v>
      </c>
      <c r="B75" s="398"/>
      <c r="C75" s="398"/>
      <c r="D75" s="398"/>
      <c r="E75" s="398"/>
      <c r="F75" s="399"/>
      <c r="G75" s="231"/>
      <c r="H75" s="231"/>
      <c r="I75" s="231"/>
      <c r="J75" s="231"/>
      <c r="M75" s="90"/>
      <c r="N75" s="90"/>
      <c r="O75" s="90"/>
      <c r="P75" s="90"/>
    </row>
    <row r="76" spans="1:81" ht="12.75" hidden="1">
      <c r="A76" s="144" t="s">
        <v>276</v>
      </c>
      <c r="B76" s="188"/>
      <c r="C76" s="188"/>
      <c r="D76" s="188"/>
      <c r="E76" s="188"/>
      <c r="F76" s="192"/>
      <c r="G76" s="232"/>
      <c r="H76" s="232"/>
      <c r="I76" s="232"/>
      <c r="J76" s="232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</row>
    <row r="77" spans="1:81" ht="38.25" hidden="1">
      <c r="A77" s="144" t="s">
        <v>275</v>
      </c>
      <c r="B77" s="188"/>
      <c r="C77" s="188"/>
      <c r="D77" s="188"/>
      <c r="E77" s="188"/>
      <c r="F77" s="192"/>
      <c r="G77" s="232"/>
      <c r="H77" s="232"/>
      <c r="I77" s="232"/>
      <c r="J77" s="232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</row>
    <row r="78" spans="1:81" ht="12.75" hidden="1">
      <c r="A78" s="144" t="s">
        <v>274</v>
      </c>
      <c r="B78" s="188"/>
      <c r="C78" s="188"/>
      <c r="D78" s="188"/>
      <c r="E78" s="188"/>
      <c r="F78" s="192"/>
      <c r="G78" s="232"/>
      <c r="H78" s="232"/>
      <c r="I78" s="232"/>
      <c r="J78" s="232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</row>
    <row r="79" spans="1:81" ht="38.25" hidden="1">
      <c r="A79" s="144" t="s">
        <v>273</v>
      </c>
      <c r="B79" s="188"/>
      <c r="C79" s="188"/>
      <c r="D79" s="188"/>
      <c r="E79" s="188"/>
      <c r="F79" s="192"/>
      <c r="G79" s="232"/>
      <c r="H79" s="232"/>
      <c r="I79" s="232"/>
      <c r="J79" s="232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</row>
    <row r="80" spans="1:81" ht="51" hidden="1">
      <c r="A80" s="144" t="s">
        <v>272</v>
      </c>
      <c r="B80" s="188"/>
      <c r="C80" s="188"/>
      <c r="D80" s="188"/>
      <c r="E80" s="188"/>
      <c r="F80" s="192"/>
      <c r="G80" s="232"/>
      <c r="H80" s="232"/>
      <c r="I80" s="232"/>
      <c r="J80" s="232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</row>
    <row r="81" spans="1:81" ht="25.5" hidden="1">
      <c r="A81" s="144" t="s">
        <v>271</v>
      </c>
      <c r="B81" s="188"/>
      <c r="C81" s="188"/>
      <c r="D81" s="188"/>
      <c r="E81" s="188"/>
      <c r="F81" s="192"/>
      <c r="G81" s="232"/>
      <c r="H81" s="232"/>
      <c r="I81" s="232"/>
      <c r="J81" s="232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</row>
    <row r="82" spans="1:81" ht="31.5" customHeight="1" hidden="1">
      <c r="A82" s="397" t="s">
        <v>270</v>
      </c>
      <c r="B82" s="398"/>
      <c r="C82" s="398"/>
      <c r="D82" s="398"/>
      <c r="E82" s="398"/>
      <c r="F82" s="399"/>
      <c r="G82" s="232"/>
      <c r="H82" s="232"/>
      <c r="I82" s="232"/>
      <c r="J82" s="232"/>
      <c r="K82" s="90"/>
      <c r="L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</row>
    <row r="83" spans="1:81" ht="25.5" hidden="1">
      <c r="A83" s="144" t="s">
        <v>269</v>
      </c>
      <c r="B83" s="188"/>
      <c r="C83" s="188"/>
      <c r="D83" s="188"/>
      <c r="E83" s="188"/>
      <c r="F83" s="192"/>
      <c r="G83" s="232"/>
      <c r="H83" s="232"/>
      <c r="I83" s="232"/>
      <c r="J83" s="232"/>
      <c r="K83" s="90"/>
      <c r="L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</row>
    <row r="84" spans="1:81" ht="25.5" hidden="1">
      <c r="A84" s="144" t="s">
        <v>268</v>
      </c>
      <c r="B84" s="188"/>
      <c r="C84" s="188"/>
      <c r="D84" s="188"/>
      <c r="E84" s="188"/>
      <c r="F84" s="192"/>
      <c r="G84" s="232"/>
      <c r="H84" s="232"/>
      <c r="I84" s="232"/>
      <c r="J84" s="232"/>
      <c r="K84" s="90"/>
      <c r="L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</row>
    <row r="85" spans="1:81" ht="25.5" hidden="1">
      <c r="A85" s="144" t="s">
        <v>267</v>
      </c>
      <c r="B85" s="188"/>
      <c r="C85" s="188"/>
      <c r="D85" s="188"/>
      <c r="E85" s="188"/>
      <c r="F85" s="192"/>
      <c r="G85" s="232"/>
      <c r="H85" s="232"/>
      <c r="I85" s="232"/>
      <c r="J85" s="232"/>
      <c r="K85" s="90"/>
      <c r="L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</row>
    <row r="86" spans="1:81" ht="12.75" hidden="1">
      <c r="A86" s="144" t="s">
        <v>266</v>
      </c>
      <c r="B86" s="188"/>
      <c r="C86" s="188"/>
      <c r="D86" s="188"/>
      <c r="E86" s="188"/>
      <c r="F86" s="192"/>
      <c r="G86" s="232"/>
      <c r="H86" s="232"/>
      <c r="I86" s="232"/>
      <c r="J86" s="232"/>
      <c r="K86" s="90"/>
      <c r="L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</row>
    <row r="87" spans="1:81" ht="25.5" hidden="1">
      <c r="A87" s="144" t="s">
        <v>265</v>
      </c>
      <c r="B87" s="188"/>
      <c r="C87" s="188"/>
      <c r="D87" s="188"/>
      <c r="E87" s="188"/>
      <c r="F87" s="192"/>
      <c r="G87" s="232"/>
      <c r="H87" s="232"/>
      <c r="I87" s="232"/>
      <c r="J87" s="232"/>
      <c r="K87" s="90"/>
      <c r="L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</row>
    <row r="88" spans="1:81" ht="25.5" hidden="1">
      <c r="A88" s="144" t="s">
        <v>264</v>
      </c>
      <c r="B88" s="188"/>
      <c r="C88" s="188"/>
      <c r="D88" s="188"/>
      <c r="E88" s="188"/>
      <c r="F88" s="192"/>
      <c r="G88" s="232"/>
      <c r="H88" s="232"/>
      <c r="I88" s="232"/>
      <c r="J88" s="232"/>
      <c r="K88" s="90"/>
      <c r="L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</row>
    <row r="89" spans="1:81" ht="38.25" hidden="1">
      <c r="A89" s="144" t="s">
        <v>263</v>
      </c>
      <c r="B89" s="188"/>
      <c r="C89" s="188"/>
      <c r="D89" s="188"/>
      <c r="E89" s="188"/>
      <c r="F89" s="192"/>
      <c r="G89" s="232"/>
      <c r="H89" s="232"/>
      <c r="I89" s="232"/>
      <c r="J89" s="232"/>
      <c r="K89" s="90"/>
      <c r="L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</row>
    <row r="90" spans="1:81" ht="25.5" hidden="1">
      <c r="A90" s="144" t="s">
        <v>262</v>
      </c>
      <c r="B90" s="188"/>
      <c r="C90" s="188"/>
      <c r="D90" s="188"/>
      <c r="E90" s="188"/>
      <c r="F90" s="192"/>
      <c r="G90" s="232"/>
      <c r="H90" s="232"/>
      <c r="I90" s="232"/>
      <c r="J90" s="232"/>
      <c r="K90" s="90"/>
      <c r="L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</row>
    <row r="91" spans="1:81" ht="25.5" hidden="1">
      <c r="A91" s="144" t="s">
        <v>261</v>
      </c>
      <c r="B91" s="188"/>
      <c r="C91" s="188"/>
      <c r="D91" s="188"/>
      <c r="E91" s="188"/>
      <c r="F91" s="192"/>
      <c r="G91" s="232"/>
      <c r="H91" s="232"/>
      <c r="I91" s="232"/>
      <c r="J91" s="232"/>
      <c r="K91" s="90"/>
      <c r="L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</row>
    <row r="92" spans="1:10" ht="38.25" hidden="1">
      <c r="A92" s="144" t="s">
        <v>260</v>
      </c>
      <c r="B92" s="188"/>
      <c r="C92" s="188"/>
      <c r="D92" s="188"/>
      <c r="E92" s="188"/>
      <c r="F92" s="192"/>
      <c r="G92" s="231"/>
      <c r="H92" s="231"/>
      <c r="I92" s="231"/>
      <c r="J92" s="231"/>
    </row>
    <row r="93" spans="1:10" ht="25.5" hidden="1">
      <c r="A93" s="144" t="s">
        <v>259</v>
      </c>
      <c r="B93" s="188"/>
      <c r="C93" s="188"/>
      <c r="D93" s="188"/>
      <c r="E93" s="188"/>
      <c r="F93" s="192"/>
      <c r="G93" s="231"/>
      <c r="H93" s="231"/>
      <c r="I93" s="231"/>
      <c r="J93" s="231"/>
    </row>
    <row r="94" spans="1:10" ht="12.75" hidden="1">
      <c r="A94" s="144" t="s">
        <v>258</v>
      </c>
      <c r="B94" s="147" t="s">
        <v>244</v>
      </c>
      <c r="C94" s="147">
        <v>12</v>
      </c>
      <c r="D94" s="147">
        <f>ROUND(F94/F6,2)</f>
        <v>0</v>
      </c>
      <c r="E94" s="147"/>
      <c r="F94" s="189">
        <f>'пр.3'!F38</f>
        <v>0</v>
      </c>
      <c r="G94" s="231"/>
      <c r="H94" s="231"/>
      <c r="I94" s="231"/>
      <c r="J94" s="231"/>
    </row>
    <row r="95" spans="1:81" s="161" customFormat="1" ht="13.5" thickBot="1">
      <c r="A95" s="174" t="s">
        <v>139</v>
      </c>
      <c r="B95" s="173"/>
      <c r="C95" s="173"/>
      <c r="D95" s="191">
        <f>SUM(D69+D94)</f>
        <v>25.35</v>
      </c>
      <c r="E95" s="173"/>
      <c r="F95" s="191">
        <f>SUM(F69+F94)</f>
        <v>15035</v>
      </c>
      <c r="G95" s="191">
        <f>SUM(G69+G94)</f>
        <v>25.35</v>
      </c>
      <c r="H95" s="191">
        <f>SUM(H69+H94)</f>
        <v>25.35</v>
      </c>
      <c r="I95" s="191">
        <f>SUM(I69+I94)</f>
        <v>25.35</v>
      </c>
      <c r="J95" s="191">
        <f>SUM(J69+J94)</f>
        <v>0</v>
      </c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</row>
    <row r="96" spans="1:10" ht="16.5" thickBot="1">
      <c r="A96" s="400" t="s">
        <v>257</v>
      </c>
      <c r="B96" s="400"/>
      <c r="C96" s="400"/>
      <c r="D96" s="400"/>
      <c r="E96" s="400"/>
      <c r="F96" s="400"/>
      <c r="G96" s="231"/>
      <c r="H96" s="231"/>
      <c r="I96" s="231"/>
      <c r="J96" s="231"/>
    </row>
    <row r="97" spans="1:10" ht="12.75">
      <c r="A97" s="32" t="s">
        <v>256</v>
      </c>
      <c r="B97" s="147" t="s">
        <v>244</v>
      </c>
      <c r="C97" s="190"/>
      <c r="D97" s="147">
        <f>ROUND(F97/F6,2)</f>
        <v>141.91</v>
      </c>
      <c r="E97" s="190"/>
      <c r="F97" s="189">
        <f>'пр.3'!F44+'пр.3'!F45+'пр.3'!F47+'пр.3'!F48+'пр.3'!F49+'пр.3'!F46</f>
        <v>84150</v>
      </c>
      <c r="G97" s="147">
        <f aca="true" t="shared" si="8" ref="G97:G105">IF(G$6=0,0,D97)</f>
        <v>141.91</v>
      </c>
      <c r="H97" s="147">
        <f aca="true" t="shared" si="9" ref="H97:H105">IF(H$6=0,0,D97)</f>
        <v>141.91</v>
      </c>
      <c r="I97" s="147">
        <f aca="true" t="shared" si="10" ref="I97:I105">IF(I$6=0,0,D97)</f>
        <v>141.91</v>
      </c>
      <c r="J97" s="147">
        <f aca="true" t="shared" si="11" ref="J97:J105">IF(J$6=0,0,D97)</f>
        <v>0</v>
      </c>
    </row>
    <row r="98" spans="1:10" ht="12.75" hidden="1">
      <c r="A98" s="144" t="s">
        <v>255</v>
      </c>
      <c r="B98" s="141" t="s">
        <v>244</v>
      </c>
      <c r="C98" s="188"/>
      <c r="D98" s="178">
        <f>ROUND(F98/F6,2)</f>
        <v>0</v>
      </c>
      <c r="E98" s="188"/>
      <c r="F98" s="187">
        <f>'пр.3'!F50</f>
        <v>0</v>
      </c>
      <c r="G98" s="178">
        <f t="shared" si="8"/>
        <v>0</v>
      </c>
      <c r="H98" s="178">
        <f t="shared" si="9"/>
        <v>0</v>
      </c>
      <c r="I98" s="178">
        <f t="shared" si="10"/>
        <v>0</v>
      </c>
      <c r="J98" s="178">
        <f t="shared" si="11"/>
        <v>0</v>
      </c>
    </row>
    <row r="99" spans="1:10" ht="25.5" hidden="1">
      <c r="A99" s="186" t="s">
        <v>173</v>
      </c>
      <c r="B99" s="141" t="s">
        <v>244</v>
      </c>
      <c r="C99" s="188"/>
      <c r="D99" s="178">
        <f>ROUND(F99/F6,2)</f>
        <v>0</v>
      </c>
      <c r="E99" s="188"/>
      <c r="F99" s="187">
        <f>'пр.3'!F51</f>
        <v>0</v>
      </c>
      <c r="G99" s="178">
        <f t="shared" si="8"/>
        <v>0</v>
      </c>
      <c r="H99" s="178">
        <f t="shared" si="9"/>
        <v>0</v>
      </c>
      <c r="I99" s="178">
        <f t="shared" si="10"/>
        <v>0</v>
      </c>
      <c r="J99" s="178">
        <f t="shared" si="11"/>
        <v>0</v>
      </c>
    </row>
    <row r="100" spans="1:10" ht="12.75" hidden="1">
      <c r="A100" s="72" t="s">
        <v>170</v>
      </c>
      <c r="B100" s="141" t="s">
        <v>244</v>
      </c>
      <c r="C100" s="188"/>
      <c r="D100" s="178">
        <f>ROUND(F100/F6,2)</f>
        <v>0</v>
      </c>
      <c r="E100" s="188"/>
      <c r="F100" s="187">
        <f>'пр.3'!F66</f>
        <v>0</v>
      </c>
      <c r="G100" s="178">
        <f t="shared" si="8"/>
        <v>0</v>
      </c>
      <c r="H100" s="178">
        <f t="shared" si="9"/>
        <v>0</v>
      </c>
      <c r="I100" s="178">
        <f t="shared" si="10"/>
        <v>0</v>
      </c>
      <c r="J100" s="178">
        <f t="shared" si="11"/>
        <v>0</v>
      </c>
    </row>
    <row r="101" spans="1:10" ht="12.75">
      <c r="A101" s="186" t="s">
        <v>168</v>
      </c>
      <c r="B101" s="141" t="s">
        <v>244</v>
      </c>
      <c r="C101" s="188"/>
      <c r="D101" s="178">
        <f>ROUND(F101/F6,2)</f>
        <v>0</v>
      </c>
      <c r="E101" s="188"/>
      <c r="F101" s="187">
        <f>'пр.3'!F68</f>
        <v>0</v>
      </c>
      <c r="G101" s="178">
        <f t="shared" si="8"/>
        <v>0</v>
      </c>
      <c r="H101" s="178">
        <f t="shared" si="9"/>
        <v>0</v>
      </c>
      <c r="I101" s="178">
        <f t="shared" si="10"/>
        <v>0</v>
      </c>
      <c r="J101" s="178">
        <f t="shared" si="11"/>
        <v>0</v>
      </c>
    </row>
    <row r="102" spans="1:10" ht="12.75" hidden="1">
      <c r="A102" s="186" t="s">
        <v>169</v>
      </c>
      <c r="B102" s="141" t="s">
        <v>244</v>
      </c>
      <c r="C102" s="185"/>
      <c r="D102" s="178">
        <f>ROUND(F102/F6,2)</f>
        <v>0</v>
      </c>
      <c r="E102" s="185"/>
      <c r="F102" s="187">
        <f>'пр.3'!F67</f>
        <v>0</v>
      </c>
      <c r="G102" s="178">
        <f t="shared" si="8"/>
        <v>0</v>
      </c>
      <c r="H102" s="178">
        <f t="shared" si="9"/>
        <v>0</v>
      </c>
      <c r="I102" s="178">
        <f t="shared" si="10"/>
        <v>0</v>
      </c>
      <c r="J102" s="178">
        <f t="shared" si="11"/>
        <v>0</v>
      </c>
    </row>
    <row r="103" spans="1:10" ht="12.75">
      <c r="A103" s="186" t="s">
        <v>172</v>
      </c>
      <c r="B103" s="141" t="s">
        <v>244</v>
      </c>
      <c r="C103" s="185"/>
      <c r="D103" s="178">
        <f>ROUND(F103/F6,2)</f>
        <v>22.11</v>
      </c>
      <c r="E103" s="185"/>
      <c r="F103" s="184">
        <f>'пр.3'!F63</f>
        <v>13110</v>
      </c>
      <c r="G103" s="178">
        <f t="shared" si="8"/>
        <v>22.11</v>
      </c>
      <c r="H103" s="178">
        <f t="shared" si="9"/>
        <v>22.11</v>
      </c>
      <c r="I103" s="178">
        <f t="shared" si="10"/>
        <v>22.11</v>
      </c>
      <c r="J103" s="178">
        <f t="shared" si="11"/>
        <v>0</v>
      </c>
    </row>
    <row r="104" spans="1:10" ht="12.75">
      <c r="A104" s="186" t="s">
        <v>345</v>
      </c>
      <c r="B104" s="141" t="s">
        <v>244</v>
      </c>
      <c r="C104" s="185"/>
      <c r="D104" s="178">
        <f>ROUND(F104/F6,2)</f>
        <v>0</v>
      </c>
      <c r="E104" s="185"/>
      <c r="F104" s="184">
        <f>'пр.3'!F64</f>
        <v>0</v>
      </c>
      <c r="G104" s="178">
        <f t="shared" si="8"/>
        <v>0</v>
      </c>
      <c r="H104" s="178">
        <f t="shared" si="9"/>
        <v>0</v>
      </c>
      <c r="I104" s="178">
        <f t="shared" si="10"/>
        <v>0</v>
      </c>
      <c r="J104" s="178">
        <f t="shared" si="11"/>
        <v>0</v>
      </c>
    </row>
    <row r="105" spans="1:10" ht="12.75">
      <c r="A105" s="186" t="s">
        <v>171</v>
      </c>
      <c r="B105" s="141" t="s">
        <v>244</v>
      </c>
      <c r="C105" s="185"/>
      <c r="D105" s="178">
        <f>ROUND(F105/F6,2)</f>
        <v>1.01</v>
      </c>
      <c r="E105" s="185"/>
      <c r="F105" s="184">
        <f>'пр.3'!F65</f>
        <v>599.36</v>
      </c>
      <c r="G105" s="178">
        <f t="shared" si="8"/>
        <v>1.01</v>
      </c>
      <c r="H105" s="178">
        <f t="shared" si="9"/>
        <v>1.01</v>
      </c>
      <c r="I105" s="178">
        <f t="shared" si="10"/>
        <v>1.01</v>
      </c>
      <c r="J105" s="178">
        <f t="shared" si="11"/>
        <v>0</v>
      </c>
    </row>
    <row r="106" spans="1:81" s="180" customFormat="1" ht="13.5" thickBot="1">
      <c r="A106" s="183" t="s">
        <v>243</v>
      </c>
      <c r="B106" s="182"/>
      <c r="C106" s="182"/>
      <c r="D106" s="181">
        <f>D97+D98+D105+D99+D101+D103+D100+D102+D104</f>
        <v>165.02999999999997</v>
      </c>
      <c r="E106" s="182"/>
      <c r="F106" s="181">
        <f>F97+F98+F105+F99+F101+F103+F100+F104+F102</f>
        <v>97859.36</v>
      </c>
      <c r="G106" s="181">
        <f>G97+G98+G105+G99+G101+G103+G100+G104+G102</f>
        <v>165.02999999999997</v>
      </c>
      <c r="H106" s="181">
        <f>H97+H98+H105+H99+H101+H103+H100+H104+H102</f>
        <v>165.02999999999997</v>
      </c>
      <c r="I106" s="181">
        <f>I97+I98+I105+I99+I101+I103+I100+I104+I102</f>
        <v>165.02999999999997</v>
      </c>
      <c r="J106" s="181">
        <f>J97+J98+J105+J99+J101+J103+J100+J104+J102</f>
        <v>0</v>
      </c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</row>
    <row r="107" spans="1:81" s="156" customFormat="1" ht="18.75" customHeight="1">
      <c r="A107" s="407" t="s">
        <v>254</v>
      </c>
      <c r="B107" s="403"/>
      <c r="C107" s="403"/>
      <c r="D107" s="403"/>
      <c r="E107" s="403"/>
      <c r="F107" s="403"/>
      <c r="G107" s="403"/>
      <c r="H107" s="403"/>
      <c r="I107" s="403"/>
      <c r="J107" s="403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</row>
    <row r="108" spans="1:81" s="156" customFormat="1" ht="36.75" customHeight="1" thickBot="1">
      <c r="A108" s="394" t="s">
        <v>253</v>
      </c>
      <c r="B108" s="394"/>
      <c r="C108" s="394"/>
      <c r="D108" s="394"/>
      <c r="E108" s="394"/>
      <c r="F108" s="394"/>
      <c r="G108" s="394"/>
      <c r="H108" s="394"/>
      <c r="I108" s="394"/>
      <c r="J108" s="394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</row>
    <row r="109" spans="1:81" s="156" customFormat="1" ht="12.75">
      <c r="A109" s="171" t="s">
        <v>218</v>
      </c>
      <c r="B109" s="147" t="s">
        <v>244</v>
      </c>
      <c r="C109" s="179">
        <v>12</v>
      </c>
      <c r="D109" s="147">
        <f>ROUND(F109/F6,2)</f>
        <v>0</v>
      </c>
      <c r="E109" s="170"/>
      <c r="F109" s="146">
        <f>'пр.4'!F6</f>
        <v>0</v>
      </c>
      <c r="G109" s="147">
        <f>IF(G$6=0,0,D109)</f>
        <v>0</v>
      </c>
      <c r="H109" s="147">
        <f>IF(H$6=0,0,D109)</f>
        <v>0</v>
      </c>
      <c r="I109" s="147">
        <f>IF(I$6=0,0,D109)</f>
        <v>0</v>
      </c>
      <c r="J109" s="147">
        <f>IF(J$6=0,0,D109)</f>
        <v>0</v>
      </c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</row>
    <row r="110" spans="1:81" s="156" customFormat="1" ht="12.75">
      <c r="A110" s="105" t="s">
        <v>217</v>
      </c>
      <c r="B110" s="141" t="s">
        <v>244</v>
      </c>
      <c r="C110" s="177">
        <v>12</v>
      </c>
      <c r="D110" s="178">
        <f>ROUND(F110/F6,2)</f>
        <v>0</v>
      </c>
      <c r="E110" s="176"/>
      <c r="F110" s="140">
        <f>'пр.4'!F7</f>
        <v>0</v>
      </c>
      <c r="G110" s="178">
        <f>IF(G$6=0,0,D110)</f>
        <v>0</v>
      </c>
      <c r="H110" s="178">
        <f>IF(H$6=0,0,D110)</f>
        <v>0</v>
      </c>
      <c r="I110" s="178">
        <f>IF(I$6=0,0,D110)</f>
        <v>0</v>
      </c>
      <c r="J110" s="178">
        <f>IF(J$6=0,0,D110)</f>
        <v>0</v>
      </c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</row>
    <row r="111" spans="1:81" s="161" customFormat="1" ht="13.5" thickBot="1">
      <c r="A111" s="174" t="s">
        <v>243</v>
      </c>
      <c r="B111" s="173"/>
      <c r="C111" s="173"/>
      <c r="D111" s="172">
        <f>D109+D110</f>
        <v>0</v>
      </c>
      <c r="E111" s="173"/>
      <c r="F111" s="172">
        <f>F109+F110</f>
        <v>0</v>
      </c>
      <c r="G111" s="172">
        <f>G109+G110</f>
        <v>0</v>
      </c>
      <c r="H111" s="172">
        <f>H109+H110</f>
        <v>0</v>
      </c>
      <c r="I111" s="172">
        <f>I109+I110</f>
        <v>0</v>
      </c>
      <c r="J111" s="172">
        <f>J109+J110</f>
        <v>0</v>
      </c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</row>
    <row r="112" spans="1:81" s="156" customFormat="1" ht="16.5" thickBot="1">
      <c r="A112" s="401" t="s">
        <v>252</v>
      </c>
      <c r="B112" s="401"/>
      <c r="C112" s="401"/>
      <c r="D112" s="401"/>
      <c r="E112" s="401"/>
      <c r="F112" s="402"/>
      <c r="G112" s="231"/>
      <c r="H112" s="231"/>
      <c r="I112" s="231"/>
      <c r="J112" s="23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</row>
    <row r="113" spans="1:81" s="156" customFormat="1" ht="12.75">
      <c r="A113" s="171" t="s">
        <v>213</v>
      </c>
      <c r="B113" s="147" t="s">
        <v>244</v>
      </c>
      <c r="C113" s="179">
        <v>12</v>
      </c>
      <c r="D113" s="147">
        <f>ROUND(F113/F6,2)</f>
        <v>0</v>
      </c>
      <c r="E113" s="170"/>
      <c r="F113" s="169">
        <f>'пр.4'!F26</f>
        <v>0</v>
      </c>
      <c r="G113" s="147">
        <f>IF(G$6=0,0,D113)</f>
        <v>0</v>
      </c>
      <c r="H113" s="147">
        <f>IF(H$6=0,0,D113)</f>
        <v>0</v>
      </c>
      <c r="I113" s="147">
        <f>IF(I$6=0,0,D113)</f>
        <v>0</v>
      </c>
      <c r="J113" s="147">
        <f>IF(J$6=0,0,D113)</f>
        <v>0</v>
      </c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</row>
    <row r="114" spans="1:81" s="156" customFormat="1" ht="12.75" hidden="1">
      <c r="A114" s="105" t="s">
        <v>212</v>
      </c>
      <c r="B114" s="141" t="s">
        <v>244</v>
      </c>
      <c r="C114" s="177">
        <v>12</v>
      </c>
      <c r="D114" s="178">
        <f>ROUND(F114/F6,2)</f>
        <v>0</v>
      </c>
      <c r="E114" s="176"/>
      <c r="F114" s="175">
        <f>'пр.4'!F27</f>
        <v>0</v>
      </c>
      <c r="G114" s="178">
        <f>IF(G$6=0,0,D114)</f>
        <v>0</v>
      </c>
      <c r="H114" s="178">
        <f>IF(H$6=0,0,D114)</f>
        <v>0</v>
      </c>
      <c r="I114" s="178">
        <f>IF(I$6=0,0,D114)</f>
        <v>0</v>
      </c>
      <c r="J114" s="178">
        <f>IF(J$6=0,0,D114)</f>
        <v>0</v>
      </c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</row>
    <row r="115" spans="1:81" s="156" customFormat="1" ht="12.75" hidden="1">
      <c r="A115" s="105" t="s">
        <v>211</v>
      </c>
      <c r="B115" s="141" t="s">
        <v>244</v>
      </c>
      <c r="C115" s="176"/>
      <c r="D115" s="177"/>
      <c r="E115" s="176"/>
      <c r="F115" s="175">
        <f>ROUND('пр.4'!F28/12,2)</f>
        <v>0</v>
      </c>
      <c r="G115" s="177">
        <f>IF(G$6=0,0,D115)</f>
        <v>0</v>
      </c>
      <c r="H115" s="177">
        <f>IF(H$6=0,0,D115)</f>
        <v>0</v>
      </c>
      <c r="I115" s="177">
        <f>IF(I$6=0,0,D115)</f>
        <v>0</v>
      </c>
      <c r="J115" s="177">
        <f>IF(J$6=0,0,D115)</f>
        <v>0</v>
      </c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</row>
    <row r="116" spans="1:81" s="156" customFormat="1" ht="12.75" hidden="1">
      <c r="A116" s="105"/>
      <c r="B116" s="141" t="s">
        <v>244</v>
      </c>
      <c r="C116" s="176"/>
      <c r="D116" s="177"/>
      <c r="E116" s="176"/>
      <c r="F116" s="175"/>
      <c r="G116" s="177">
        <f>IF(G$6=0,0,D116)</f>
        <v>0</v>
      </c>
      <c r="H116" s="177">
        <f>IF(H$6=0,0,D116)</f>
        <v>0</v>
      </c>
      <c r="I116" s="177">
        <f>IF(I$6=0,0,D116)</f>
        <v>0</v>
      </c>
      <c r="J116" s="177">
        <f>IF(J$6=0,0,D116)</f>
        <v>0</v>
      </c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</row>
    <row r="117" spans="1:81" s="161" customFormat="1" ht="13.5" thickBot="1">
      <c r="A117" s="174" t="s">
        <v>243</v>
      </c>
      <c r="B117" s="173"/>
      <c r="C117" s="173"/>
      <c r="D117" s="172">
        <f>D113+D114+D115+D116</f>
        <v>0</v>
      </c>
      <c r="E117" s="173"/>
      <c r="F117" s="172">
        <f>F113+F114+F115+F116</f>
        <v>0</v>
      </c>
      <c r="G117" s="172">
        <f>G113+G114+G115+G116</f>
        <v>0</v>
      </c>
      <c r="H117" s="172">
        <f>H113+H114+H115+H116</f>
        <v>0</v>
      </c>
      <c r="I117" s="172">
        <f>I113+I114+I115+I116</f>
        <v>0</v>
      </c>
      <c r="J117" s="172">
        <f>J113+J114+J115+J116</f>
        <v>0</v>
      </c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</row>
    <row r="118" spans="1:81" s="156" customFormat="1" ht="33" customHeight="1" thickBot="1">
      <c r="A118" s="405" t="s">
        <v>251</v>
      </c>
      <c r="B118" s="405"/>
      <c r="C118" s="405"/>
      <c r="D118" s="405"/>
      <c r="E118" s="405"/>
      <c r="F118" s="406"/>
      <c r="G118" s="231"/>
      <c r="H118" s="231"/>
      <c r="I118" s="231"/>
      <c r="J118" s="23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</row>
    <row r="119" spans="1:81" s="156" customFormat="1" ht="12.75">
      <c r="A119" s="171" t="s">
        <v>206</v>
      </c>
      <c r="B119" s="147" t="s">
        <v>244</v>
      </c>
      <c r="C119" s="170"/>
      <c r="D119" s="147">
        <f>ROUND(F119/F6,2)</f>
        <v>0</v>
      </c>
      <c r="E119" s="170"/>
      <c r="F119" s="169">
        <f>'пр.4'!F36</f>
        <v>0</v>
      </c>
      <c r="G119" s="147">
        <f>IF(G$6=0,0,D119)</f>
        <v>0</v>
      </c>
      <c r="H119" s="147">
        <f>IF(H$6=0,0,D119)</f>
        <v>0</v>
      </c>
      <c r="I119" s="147">
        <f>IF(I$6=0,0,D119)</f>
        <v>0</v>
      </c>
      <c r="J119" s="147">
        <f>IF(J$6=0,0,D119)</f>
        <v>0</v>
      </c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</row>
    <row r="120" spans="1:81" s="161" customFormat="1" ht="13.5" thickBot="1">
      <c r="A120" s="174" t="s">
        <v>243</v>
      </c>
      <c r="B120" s="173"/>
      <c r="C120" s="173"/>
      <c r="D120" s="172">
        <f>D119</f>
        <v>0</v>
      </c>
      <c r="E120" s="173"/>
      <c r="F120" s="172">
        <f>F119</f>
        <v>0</v>
      </c>
      <c r="G120" s="172">
        <f>G119</f>
        <v>0</v>
      </c>
      <c r="H120" s="172">
        <f>H119</f>
        <v>0</v>
      </c>
      <c r="I120" s="172">
        <f>I119</f>
        <v>0</v>
      </c>
      <c r="J120" s="172">
        <f>J119</f>
        <v>0</v>
      </c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</row>
    <row r="121" spans="1:81" s="156" customFormat="1" ht="16.5" thickBot="1">
      <c r="A121" s="401" t="s">
        <v>250</v>
      </c>
      <c r="B121" s="401"/>
      <c r="C121" s="401"/>
      <c r="D121" s="401"/>
      <c r="E121" s="401"/>
      <c r="F121" s="402"/>
      <c r="G121" s="231"/>
      <c r="H121" s="231"/>
      <c r="I121" s="231"/>
      <c r="J121" s="23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</row>
    <row r="122" spans="1:81" s="156" customFormat="1" ht="12.75">
      <c r="A122" s="171"/>
      <c r="B122" s="147" t="s">
        <v>244</v>
      </c>
      <c r="C122" s="170"/>
      <c r="D122" s="147">
        <f>ROUND(F122/F6,2)</f>
        <v>0</v>
      </c>
      <c r="E122" s="170"/>
      <c r="F122" s="169">
        <f>'пр.4'!F43</f>
        <v>0</v>
      </c>
      <c r="G122" s="147">
        <f>IF(G$6=0,0,D122)</f>
        <v>0</v>
      </c>
      <c r="H122" s="147">
        <f>IF(H$6=0,0,D122)</f>
        <v>0</v>
      </c>
      <c r="I122" s="147">
        <f>IF(I$6=0,0,D122)</f>
        <v>0</v>
      </c>
      <c r="J122" s="147">
        <f>IF(J$6=0,0,D122)</f>
        <v>0</v>
      </c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</row>
    <row r="123" spans="1:81" s="156" customFormat="1" ht="13.5" thickBot="1">
      <c r="A123" s="168"/>
      <c r="B123" s="167" t="s">
        <v>244</v>
      </c>
      <c r="C123" s="165"/>
      <c r="D123" s="166">
        <f>ROUND(F123/F6,2)</f>
        <v>0</v>
      </c>
      <c r="E123" s="165"/>
      <c r="F123" s="164">
        <f>'пр.4'!F44</f>
        <v>0</v>
      </c>
      <c r="G123" s="166">
        <f>IF(G$6=0,0,D123)</f>
        <v>0</v>
      </c>
      <c r="H123" s="166">
        <f>IF(H$6=0,0,D123)</f>
        <v>0</v>
      </c>
      <c r="I123" s="166">
        <f>IF(I$6=0,0,D123)</f>
        <v>0</v>
      </c>
      <c r="J123" s="166">
        <f>IF(J$6=0,0,D123)</f>
        <v>0</v>
      </c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</row>
    <row r="124" spans="1:81" s="161" customFormat="1" ht="12.75">
      <c r="A124" s="163" t="s">
        <v>243</v>
      </c>
      <c r="B124" s="163"/>
      <c r="C124" s="163"/>
      <c r="D124" s="162">
        <f>D122+D123</f>
        <v>0</v>
      </c>
      <c r="E124" s="163"/>
      <c r="F124" s="162">
        <f>F122+F123</f>
        <v>0</v>
      </c>
      <c r="G124" s="162">
        <f>G122+G123</f>
        <v>0</v>
      </c>
      <c r="H124" s="162">
        <f>H122+H123</f>
        <v>0</v>
      </c>
      <c r="I124" s="162">
        <f>I122+I123</f>
        <v>0</v>
      </c>
      <c r="J124" s="162">
        <f>J122+J123</f>
        <v>0</v>
      </c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</row>
    <row r="125" spans="1:81" s="156" customFormat="1" ht="16.5" thickBot="1">
      <c r="A125" s="393" t="s">
        <v>249</v>
      </c>
      <c r="B125" s="393"/>
      <c r="C125" s="393"/>
      <c r="D125" s="393"/>
      <c r="E125" s="393"/>
      <c r="F125" s="393"/>
      <c r="G125" s="231"/>
      <c r="H125" s="231"/>
      <c r="I125" s="231"/>
      <c r="J125" s="23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</row>
    <row r="126" spans="1:81" s="156" customFormat="1" ht="12.75">
      <c r="A126" s="32" t="s">
        <v>229</v>
      </c>
      <c r="B126" s="147" t="s">
        <v>244</v>
      </c>
      <c r="C126" s="147">
        <v>12</v>
      </c>
      <c r="D126" s="148">
        <f>ROUND(F126/F6,2)</f>
        <v>45.88</v>
      </c>
      <c r="E126" s="147"/>
      <c r="F126" s="146">
        <f>'пр.5'!H6+'пр.5'!H7</f>
        <v>27205.85</v>
      </c>
      <c r="G126" s="148">
        <f aca="true" t="shared" si="12" ref="G126:G131">IF(G$6=0,0,D126)</f>
        <v>45.88</v>
      </c>
      <c r="H126" s="148">
        <f aca="true" t="shared" si="13" ref="H126:H131">IF(H$6=0,0,D126)</f>
        <v>45.88</v>
      </c>
      <c r="I126" s="148">
        <f aca="true" t="shared" si="14" ref="I126:I131">IF(I$6=0,0,D126)</f>
        <v>45.88</v>
      </c>
      <c r="J126" s="148">
        <f aca="true" t="shared" si="15" ref="J126:J131">IF(J$6=0,0,D126)</f>
        <v>0</v>
      </c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</row>
    <row r="127" spans="1:81" s="156" customFormat="1" ht="12.75">
      <c r="A127" s="27" t="s">
        <v>228</v>
      </c>
      <c r="B127" s="141" t="s">
        <v>244</v>
      </c>
      <c r="C127" s="141">
        <v>12</v>
      </c>
      <c r="D127" s="142">
        <f>ROUND(F127/F6,2)</f>
        <v>44.48</v>
      </c>
      <c r="E127" s="141"/>
      <c r="F127" s="140">
        <f>'пр.5'!H8+'пр.5'!H9</f>
        <v>26376.34</v>
      </c>
      <c r="G127" s="142">
        <f t="shared" si="12"/>
        <v>44.48</v>
      </c>
      <c r="H127" s="142">
        <f t="shared" si="13"/>
        <v>44.48</v>
      </c>
      <c r="I127" s="142">
        <f t="shared" si="14"/>
        <v>44.48</v>
      </c>
      <c r="J127" s="142">
        <f t="shared" si="15"/>
        <v>0</v>
      </c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</row>
    <row r="128" spans="1:81" s="156" customFormat="1" ht="12.75">
      <c r="A128" s="40" t="s">
        <v>227</v>
      </c>
      <c r="B128" s="141" t="s">
        <v>244</v>
      </c>
      <c r="C128" s="141">
        <v>12</v>
      </c>
      <c r="D128" s="142">
        <f>ROUND(F128/F6,2)</f>
        <v>93.13</v>
      </c>
      <c r="E128" s="141"/>
      <c r="F128" s="140">
        <f>'пр.5'!H10+'пр.5'!H11</f>
        <v>55224.43</v>
      </c>
      <c r="G128" s="142">
        <f t="shared" si="12"/>
        <v>93.13</v>
      </c>
      <c r="H128" s="142">
        <f t="shared" si="13"/>
        <v>93.13</v>
      </c>
      <c r="I128" s="142">
        <f t="shared" si="14"/>
        <v>93.13</v>
      </c>
      <c r="J128" s="142">
        <f t="shared" si="15"/>
        <v>0</v>
      </c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</row>
    <row r="129" spans="1:81" s="156" customFormat="1" ht="12.75">
      <c r="A129" s="40" t="s">
        <v>226</v>
      </c>
      <c r="B129" s="141" t="s">
        <v>244</v>
      </c>
      <c r="C129" s="141">
        <v>12</v>
      </c>
      <c r="D129" s="142">
        <f>ROUND(F129/F6,2)</f>
        <v>757.85</v>
      </c>
      <c r="E129" s="141"/>
      <c r="F129" s="140">
        <f>'пр.5'!H12+'пр.5'!H13</f>
        <v>449405.32</v>
      </c>
      <c r="G129" s="142">
        <f t="shared" si="12"/>
        <v>757.85</v>
      </c>
      <c r="H129" s="142">
        <f t="shared" si="13"/>
        <v>757.85</v>
      </c>
      <c r="I129" s="142">
        <f t="shared" si="14"/>
        <v>757.85</v>
      </c>
      <c r="J129" s="142">
        <f t="shared" si="15"/>
        <v>0</v>
      </c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</row>
    <row r="130" spans="1:81" s="156" customFormat="1" ht="12.75">
      <c r="A130" s="40" t="s">
        <v>224</v>
      </c>
      <c r="B130" s="141" t="s">
        <v>244</v>
      </c>
      <c r="C130" s="141">
        <v>12</v>
      </c>
      <c r="D130" s="142">
        <f>ROUND(F130/F6,2)</f>
        <v>335.32</v>
      </c>
      <c r="E130" s="141"/>
      <c r="F130" s="140">
        <f>'пр.5'!H15+'пр.5'!H14</f>
        <v>198846.67</v>
      </c>
      <c r="G130" s="142">
        <f t="shared" si="12"/>
        <v>335.32</v>
      </c>
      <c r="H130" s="142">
        <f t="shared" si="13"/>
        <v>335.32</v>
      </c>
      <c r="I130" s="142">
        <f t="shared" si="14"/>
        <v>335.32</v>
      </c>
      <c r="J130" s="142">
        <f t="shared" si="15"/>
        <v>0</v>
      </c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</row>
    <row r="131" spans="1:81" s="156" customFormat="1" ht="38.25" hidden="1">
      <c r="A131" s="27" t="s">
        <v>222</v>
      </c>
      <c r="B131" s="141" t="s">
        <v>244</v>
      </c>
      <c r="C131" s="141">
        <v>12</v>
      </c>
      <c r="D131" s="142">
        <f>ROUND(F131/F6,2)</f>
        <v>0</v>
      </c>
      <c r="E131" s="141"/>
      <c r="F131" s="140">
        <f>'пр.5'!F16</f>
        <v>0</v>
      </c>
      <c r="G131" s="142">
        <f t="shared" si="12"/>
        <v>0</v>
      </c>
      <c r="H131" s="142">
        <f t="shared" si="13"/>
        <v>0</v>
      </c>
      <c r="I131" s="142">
        <f t="shared" si="14"/>
        <v>0</v>
      </c>
      <c r="J131" s="142">
        <f t="shared" si="15"/>
        <v>0</v>
      </c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</row>
    <row r="132" spans="1:81" s="156" customFormat="1" ht="13.5" thickBot="1">
      <c r="A132" s="160" t="s">
        <v>243</v>
      </c>
      <c r="B132" s="159"/>
      <c r="C132" s="159"/>
      <c r="D132" s="157">
        <f>SUM(D126:D131)-0.02</f>
        <v>1276.64</v>
      </c>
      <c r="E132" s="158"/>
      <c r="F132" s="157">
        <f>SUM(F126:F131)</f>
        <v>757058.61</v>
      </c>
      <c r="G132" s="157">
        <f>SUM(G126:G131)</f>
        <v>1276.66</v>
      </c>
      <c r="H132" s="157">
        <f>SUM(H126:H131)</f>
        <v>1276.66</v>
      </c>
      <c r="I132" s="157">
        <f>SUM(I126:I131)</f>
        <v>1276.66</v>
      </c>
      <c r="J132" s="157">
        <f>SUM(J126:J131)</f>
        <v>0</v>
      </c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</row>
    <row r="133" spans="1:81" s="151" customFormat="1" ht="26.25" thickBot="1">
      <c r="A133" s="155" t="s">
        <v>248</v>
      </c>
      <c r="B133" s="153"/>
      <c r="C133" s="153"/>
      <c r="D133" s="154">
        <f>D132+D124+D120+D117+D111+D106+D95+D67+D36-0.01</f>
        <v>12700.56</v>
      </c>
      <c r="E133" s="153"/>
      <c r="F133" s="152">
        <f>F132+F124+F120+F117+F111+F106+F95+F67+F36</f>
        <v>7531454.9399999995</v>
      </c>
      <c r="G133" s="154">
        <f>G132+G124+G120+G117+G111+G106+G95+G67+G36</f>
        <v>12700.599999999999</v>
      </c>
      <c r="H133" s="154">
        <f>H132+H124+H120+H117+H111+H106+H95+H67+H36</f>
        <v>12700.599999999999</v>
      </c>
      <c r="I133" s="154">
        <f>I132+I124+I120+I117+I111+I106+I95+I67+I36</f>
        <v>12700.599999999999</v>
      </c>
      <c r="J133" s="154">
        <f>J132+J124+J120+J117+J111+J106+J95+J67+J36</f>
        <v>0</v>
      </c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</row>
    <row r="134" spans="1:10" ht="19.5" thickBot="1">
      <c r="A134" s="396" t="s">
        <v>247</v>
      </c>
      <c r="B134" s="396"/>
      <c r="C134" s="396"/>
      <c r="D134" s="396"/>
      <c r="E134" s="396"/>
      <c r="F134" s="396"/>
      <c r="G134" s="231"/>
      <c r="H134" s="231"/>
      <c r="I134" s="231"/>
      <c r="J134" s="231"/>
    </row>
    <row r="135" spans="1:10" ht="12.75">
      <c r="A135" s="150" t="s">
        <v>246</v>
      </c>
      <c r="B135" s="147" t="s">
        <v>244</v>
      </c>
      <c r="C135" s="149">
        <v>0.022</v>
      </c>
      <c r="D135" s="148">
        <f>ROUND(F135/F6,2)</f>
        <v>906.99</v>
      </c>
      <c r="E135" s="147"/>
      <c r="F135" s="146">
        <f>'пр.6'!D6</f>
        <v>537844</v>
      </c>
      <c r="G135" s="148">
        <f aca="true" t="shared" si="16" ref="G135:G142">IF(G$6=0,0,D135)</f>
        <v>906.99</v>
      </c>
      <c r="H135" s="148">
        <f aca="true" t="shared" si="17" ref="H135:H142">IF(H$6=0,0,D135)</f>
        <v>906.99</v>
      </c>
      <c r="I135" s="148">
        <f aca="true" t="shared" si="18" ref="I135:I142">IF(I$6=0,0,D135)</f>
        <v>906.99</v>
      </c>
      <c r="J135" s="148">
        <f aca="true" t="shared" si="19" ref="J135:J142">IF(J$6=0,0,D135)</f>
        <v>0</v>
      </c>
    </row>
    <row r="136" spans="1:10" ht="12.75">
      <c r="A136" s="144" t="s">
        <v>245</v>
      </c>
      <c r="B136" s="141" t="s">
        <v>244</v>
      </c>
      <c r="C136" s="143">
        <v>0.015</v>
      </c>
      <c r="D136" s="142">
        <f>ROUND(F136/F6,2)</f>
        <v>631.64</v>
      </c>
      <c r="E136" s="141"/>
      <c r="F136" s="140">
        <f>'пр.6'!D7</f>
        <v>374560</v>
      </c>
      <c r="G136" s="142">
        <f t="shared" si="16"/>
        <v>631.64</v>
      </c>
      <c r="H136" s="142">
        <f t="shared" si="17"/>
        <v>631.64</v>
      </c>
      <c r="I136" s="142">
        <f t="shared" si="18"/>
        <v>631.64</v>
      </c>
      <c r="J136" s="142">
        <f t="shared" si="19"/>
        <v>0</v>
      </c>
    </row>
    <row r="137" spans="1:10" ht="12.75">
      <c r="A137" s="145" t="s">
        <v>235</v>
      </c>
      <c r="B137" s="141" t="s">
        <v>244</v>
      </c>
      <c r="C137" s="143"/>
      <c r="D137" s="142">
        <f>ROUND(F137/F6,2)</f>
        <v>9.56</v>
      </c>
      <c r="E137" s="141"/>
      <c r="F137" s="140">
        <f>'пр.6'!D8</f>
        <v>5670</v>
      </c>
      <c r="G137" s="142">
        <f t="shared" si="16"/>
        <v>9.56</v>
      </c>
      <c r="H137" s="142">
        <f t="shared" si="17"/>
        <v>9.56</v>
      </c>
      <c r="I137" s="142">
        <f t="shared" si="18"/>
        <v>9.56</v>
      </c>
      <c r="J137" s="142">
        <f t="shared" si="19"/>
        <v>0</v>
      </c>
    </row>
    <row r="138" spans="1:10" ht="12.75">
      <c r="A138" s="144" t="s">
        <v>234</v>
      </c>
      <c r="B138" s="141" t="s">
        <v>244</v>
      </c>
      <c r="C138" s="143"/>
      <c r="D138" s="142">
        <f>ROUND(F138/F6,2)</f>
        <v>0</v>
      </c>
      <c r="E138" s="141"/>
      <c r="F138" s="140">
        <f>'пр.6'!D9</f>
        <v>0</v>
      </c>
      <c r="G138" s="142">
        <f t="shared" si="16"/>
        <v>0</v>
      </c>
      <c r="H138" s="142">
        <f t="shared" si="17"/>
        <v>0</v>
      </c>
      <c r="I138" s="142">
        <f t="shared" si="18"/>
        <v>0</v>
      </c>
      <c r="J138" s="142">
        <f t="shared" si="19"/>
        <v>0</v>
      </c>
    </row>
    <row r="139" spans="1:10" ht="12.75">
      <c r="A139" s="144" t="s">
        <v>234</v>
      </c>
      <c r="B139" s="141" t="s">
        <v>244</v>
      </c>
      <c r="C139" s="143"/>
      <c r="D139" s="142">
        <f>ROUND(F139/F6,2)</f>
        <v>0</v>
      </c>
      <c r="E139" s="141"/>
      <c r="F139" s="140">
        <f>'пр.6'!D12</f>
        <v>0</v>
      </c>
      <c r="G139" s="142">
        <f t="shared" si="16"/>
        <v>0</v>
      </c>
      <c r="H139" s="142">
        <f t="shared" si="17"/>
        <v>0</v>
      </c>
      <c r="I139" s="142">
        <f t="shared" si="18"/>
        <v>0</v>
      </c>
      <c r="J139" s="142">
        <f t="shared" si="19"/>
        <v>0</v>
      </c>
    </row>
    <row r="140" spans="1:11" ht="12.75">
      <c r="A140" s="144" t="str">
        <f>'пр.6'!A19</f>
        <v>тепловая  энергия</v>
      </c>
      <c r="B140" s="141" t="s">
        <v>244</v>
      </c>
      <c r="C140" s="143"/>
      <c r="D140" s="142">
        <f>ROUND(F140/F6,2)</f>
        <v>757.85</v>
      </c>
      <c r="E140" s="141"/>
      <c r="F140" s="140">
        <f>'пр.6'!H19+'пр.6'!H18</f>
        <v>449405.3200000001</v>
      </c>
      <c r="G140" s="142">
        <f t="shared" si="16"/>
        <v>757.85</v>
      </c>
      <c r="H140" s="142">
        <f>IF(H$6=0,0,D140)</f>
        <v>757.85</v>
      </c>
      <c r="I140" s="142">
        <f t="shared" si="18"/>
        <v>757.85</v>
      </c>
      <c r="J140" s="142">
        <f t="shared" si="19"/>
        <v>0</v>
      </c>
      <c r="K140" s="91" t="s">
        <v>130</v>
      </c>
    </row>
    <row r="141" spans="1:10" ht="12.75">
      <c r="A141" s="144" t="str">
        <f>'пр.6'!A20</f>
        <v>электрическая энергия</v>
      </c>
      <c r="B141" s="141" t="s">
        <v>244</v>
      </c>
      <c r="C141" s="143"/>
      <c r="D141" s="142">
        <f>ROUND(F141/F6,2)</f>
        <v>37.26</v>
      </c>
      <c r="E141" s="141"/>
      <c r="F141" s="140">
        <f>'пр.6'!H20</f>
        <v>22094.069999999978</v>
      </c>
      <c r="G141" s="142">
        <f t="shared" si="16"/>
        <v>37.26</v>
      </c>
      <c r="H141" s="142">
        <f t="shared" si="17"/>
        <v>37.26</v>
      </c>
      <c r="I141" s="142">
        <f t="shared" si="18"/>
        <v>37.26</v>
      </c>
      <c r="J141" s="142">
        <f t="shared" si="19"/>
        <v>0</v>
      </c>
    </row>
    <row r="142" spans="1:10" ht="12.75">
      <c r="A142" s="144"/>
      <c r="B142" s="141"/>
      <c r="C142" s="143"/>
      <c r="D142" s="142"/>
      <c r="E142" s="141"/>
      <c r="F142" s="140"/>
      <c r="G142" s="142">
        <f t="shared" si="16"/>
        <v>0</v>
      </c>
      <c r="H142" s="142">
        <f t="shared" si="17"/>
        <v>0</v>
      </c>
      <c r="I142" s="142">
        <f t="shared" si="18"/>
        <v>0</v>
      </c>
      <c r="J142" s="142">
        <f t="shared" si="19"/>
        <v>0</v>
      </c>
    </row>
    <row r="143" spans="1:81" s="134" customFormat="1" ht="13.5" thickBot="1">
      <c r="A143" s="139" t="s">
        <v>243</v>
      </c>
      <c r="B143" s="136"/>
      <c r="C143" s="138"/>
      <c r="D143" s="137">
        <f>ROUND(F143/F6,2)</f>
        <v>2343.29</v>
      </c>
      <c r="E143" s="136"/>
      <c r="F143" s="135">
        <f>SUM(F135:F142)</f>
        <v>1389573.3900000001</v>
      </c>
      <c r="G143" s="137">
        <f>SUM(G135:G142)</f>
        <v>2343.3</v>
      </c>
      <c r="H143" s="137">
        <f>SUM(H135:H142)</f>
        <v>2343.3</v>
      </c>
      <c r="I143" s="137">
        <f>SUM(I135:I142)</f>
        <v>2343.3</v>
      </c>
      <c r="J143" s="137">
        <f>SUM(J135:J142)</f>
        <v>0</v>
      </c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</row>
    <row r="144" spans="1:12" ht="17.25" thickBot="1">
      <c r="A144" s="248" t="s">
        <v>242</v>
      </c>
      <c r="B144" s="249"/>
      <c r="C144" s="249"/>
      <c r="D144" s="250">
        <f>D143+D133+D14</f>
        <v>32786.31</v>
      </c>
      <c r="E144" s="251"/>
      <c r="F144" s="252">
        <f>F143+F133+F14</f>
        <v>19442306</v>
      </c>
      <c r="G144" s="250">
        <f>G143+G133+G14</f>
        <v>26864.159999999996</v>
      </c>
      <c r="H144" s="250">
        <f>H143+H133+H14</f>
        <v>36982.56</v>
      </c>
      <c r="I144" s="250">
        <f>I143+I133+I14</f>
        <v>41854.96</v>
      </c>
      <c r="J144" s="250">
        <f>J143+J133+J14</f>
        <v>0</v>
      </c>
      <c r="K144" s="91">
        <f>G144*G6+H144*H6+I144*I6</f>
        <v>19442310.08</v>
      </c>
      <c r="L144" s="91">
        <f>K144/F6</f>
        <v>32786.357639123096</v>
      </c>
    </row>
    <row r="145" ht="12.75" hidden="1">
      <c r="F145" s="133"/>
    </row>
    <row r="146" ht="12.75">
      <c r="F146" s="132"/>
    </row>
    <row r="147" spans="1:9" ht="12.75">
      <c r="A147" s="96" t="s">
        <v>388</v>
      </c>
      <c r="B147" s="96"/>
      <c r="C147" s="96"/>
      <c r="D147" s="96"/>
      <c r="E147" s="95"/>
      <c r="F147" s="94"/>
      <c r="I147" s="91" t="s">
        <v>390</v>
      </c>
    </row>
    <row r="148" ht="12.75">
      <c r="E148" s="93"/>
    </row>
    <row r="149" ht="14.25" customHeight="1">
      <c r="E149" s="93"/>
    </row>
    <row r="150" spans="1:9" ht="12.75">
      <c r="A150" s="90" t="s">
        <v>327</v>
      </c>
      <c r="E150" s="92"/>
      <c r="I150" s="91" t="s">
        <v>389</v>
      </c>
    </row>
    <row r="151" spans="1:10" ht="12.75">
      <c r="A151" s="89"/>
      <c r="G151" s="225">
        <f>G144*G6</f>
        <v>7253323.199999999</v>
      </c>
      <c r="H151" s="225">
        <f>H144*H6</f>
        <v>10096238.879999999</v>
      </c>
      <c r="I151" s="225">
        <f>I144*I6</f>
        <v>2092748</v>
      </c>
      <c r="J151" s="225">
        <f>J144*J6</f>
        <v>0</v>
      </c>
    </row>
    <row r="152" spans="7:10" ht="12.75">
      <c r="G152" s="225">
        <f>G151+H151+I151+J151</f>
        <v>19442310.08</v>
      </c>
      <c r="H152" s="225"/>
      <c r="I152" s="225"/>
      <c r="J152" s="225"/>
    </row>
    <row r="153" ht="12.75">
      <c r="G153" s="225">
        <f>F144-G152</f>
        <v>-4.079999998211861</v>
      </c>
    </row>
    <row r="155" spans="7:10" ht="12.75">
      <c r="G155" s="91">
        <f>проверка!I28</f>
        <v>26864.16</v>
      </c>
      <c r="H155" s="91">
        <f>проверка!J28</f>
        <v>36982.560000000005</v>
      </c>
      <c r="I155" s="91">
        <f>проверка!K28</f>
        <v>41854.96000000001</v>
      </c>
      <c r="J155" s="91">
        <f>проверка!L28</f>
        <v>0</v>
      </c>
    </row>
    <row r="156" spans="7:10" ht="12.75">
      <c r="G156" s="225">
        <f>G144-G155</f>
        <v>0</v>
      </c>
      <c r="H156" s="225">
        <f>H144-H155</f>
        <v>0</v>
      </c>
      <c r="I156" s="225">
        <f>I144-I155</f>
        <v>0</v>
      </c>
      <c r="J156" s="225"/>
    </row>
  </sheetData>
  <sheetProtection/>
  <mergeCells count="24">
    <mergeCell ref="B2:J2"/>
    <mergeCell ref="A9:J9"/>
    <mergeCell ref="A5:J5"/>
    <mergeCell ref="A48:J48"/>
    <mergeCell ref="A42:J42"/>
    <mergeCell ref="A37:J37"/>
    <mergeCell ref="A24:J24"/>
    <mergeCell ref="A3:F3"/>
    <mergeCell ref="A15:J15"/>
    <mergeCell ref="A118:F118"/>
    <mergeCell ref="A121:F121"/>
    <mergeCell ref="A107:J107"/>
    <mergeCell ref="A20:J20"/>
    <mergeCell ref="A68:J68"/>
    <mergeCell ref="A125:F125"/>
    <mergeCell ref="A108:J108"/>
    <mergeCell ref="A1:J1"/>
    <mergeCell ref="A134:F134"/>
    <mergeCell ref="A75:F75"/>
    <mergeCell ref="A82:F82"/>
    <mergeCell ref="A96:F96"/>
    <mergeCell ref="A112:F112"/>
    <mergeCell ref="A30:J30"/>
    <mergeCell ref="A31:J31"/>
  </mergeCells>
  <printOptions/>
  <pageMargins left="0.2" right="0.16" top="0.25" bottom="0.34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C5">
      <selection activeCell="J5" sqref="J5:R51"/>
    </sheetView>
  </sheetViews>
  <sheetFormatPr defaultColWidth="9.140625" defaultRowHeight="15"/>
  <cols>
    <col min="1" max="1" width="18.140625" style="16" customWidth="1"/>
    <col min="2" max="2" width="14.140625" style="16" customWidth="1"/>
    <col min="3" max="3" width="15.421875" style="16" customWidth="1"/>
    <col min="4" max="4" width="11.7109375" style="16" customWidth="1"/>
    <col min="5" max="6" width="12.140625" style="16" customWidth="1"/>
    <col min="7" max="7" width="11.421875" style="16" customWidth="1"/>
    <col min="8" max="8" width="10.8515625" style="16" bestFit="1" customWidth="1"/>
    <col min="9" max="9" width="10.140625" style="16" customWidth="1"/>
    <col min="10" max="10" width="10.00390625" style="16" bestFit="1" customWidth="1"/>
    <col min="11" max="11" width="10.00390625" style="15" bestFit="1" customWidth="1"/>
    <col min="12" max="17" width="9.140625" style="15" customWidth="1"/>
    <col min="18" max="18" width="10.00390625" style="15" bestFit="1" customWidth="1"/>
    <col min="19" max="16384" width="9.140625" style="15" customWidth="1"/>
  </cols>
  <sheetData>
    <row r="1" spans="6:7" ht="12.75">
      <c r="F1" s="432" t="s">
        <v>164</v>
      </c>
      <c r="G1" s="432"/>
    </row>
    <row r="2" spans="1:10" s="59" customFormat="1" ht="35.25" customHeight="1">
      <c r="A2" s="431" t="s">
        <v>163</v>
      </c>
      <c r="B2" s="431"/>
      <c r="C2" s="431"/>
      <c r="D2" s="431"/>
      <c r="E2" s="431"/>
      <c r="F2" s="431"/>
      <c r="G2" s="431"/>
      <c r="H2" s="60"/>
      <c r="I2" s="60"/>
      <c r="J2" s="60"/>
    </row>
    <row r="3" spans="1:7" ht="11.25" customHeight="1">
      <c r="A3" s="34"/>
      <c r="B3" s="34"/>
      <c r="C3" s="34"/>
      <c r="D3" s="34"/>
      <c r="E3" s="34"/>
      <c r="F3" s="436"/>
      <c r="G3" s="436"/>
    </row>
    <row r="4" spans="1:7" ht="48" customHeight="1">
      <c r="A4" s="405" t="s">
        <v>162</v>
      </c>
      <c r="B4" s="405"/>
      <c r="C4" s="405"/>
      <c r="D4" s="405"/>
      <c r="E4" s="405"/>
      <c r="F4" s="405"/>
      <c r="G4" s="405"/>
    </row>
    <row r="5" spans="1:7" ht="31.5" customHeight="1">
      <c r="A5" s="26" t="s">
        <v>146</v>
      </c>
      <c r="B5" s="26" t="s">
        <v>127</v>
      </c>
      <c r="C5" s="26" t="s">
        <v>126</v>
      </c>
      <c r="D5" s="26" t="s">
        <v>125</v>
      </c>
      <c r="E5" s="26" t="s">
        <v>124</v>
      </c>
      <c r="F5" s="26" t="s">
        <v>123</v>
      </c>
      <c r="G5" s="26" t="s">
        <v>122</v>
      </c>
    </row>
    <row r="6" spans="1:11" ht="12.75">
      <c r="A6" s="26">
        <f>M10</f>
        <v>0</v>
      </c>
      <c r="B6" s="26">
        <f>P10</f>
        <v>0</v>
      </c>
      <c r="C6" s="26">
        <f>Q10</f>
        <v>0</v>
      </c>
      <c r="D6" s="26">
        <v>9</v>
      </c>
      <c r="E6" s="26">
        <v>1</v>
      </c>
      <c r="F6" s="26">
        <f>ROUND((A6*B6*C6)*D6*E6,2)</f>
        <v>0</v>
      </c>
      <c r="G6" s="26">
        <f>ROUND(F6*30.2%,0)</f>
        <v>0</v>
      </c>
      <c r="K6" s="15" t="s">
        <v>161</v>
      </c>
    </row>
    <row r="7" spans="1:10" ht="12.75">
      <c r="A7" s="26">
        <f>M14</f>
        <v>0</v>
      </c>
      <c r="B7" s="26">
        <f>P14</f>
        <v>0</v>
      </c>
      <c r="C7" s="26">
        <f>Q14</f>
        <v>0</v>
      </c>
      <c r="D7" s="26">
        <v>3</v>
      </c>
      <c r="E7" s="26">
        <v>1.055</v>
      </c>
      <c r="F7" s="26">
        <f>ROUND((A7*B7*C7)*D7*E7,2)</f>
        <v>0</v>
      </c>
      <c r="G7" s="26">
        <f>ROUND(F7*30.2%,0)</f>
        <v>0</v>
      </c>
      <c r="J7" s="16" t="s">
        <v>160</v>
      </c>
    </row>
    <row r="8" spans="1:17" ht="12.75">
      <c r="A8" s="26"/>
      <c r="B8" s="26"/>
      <c r="C8" s="26"/>
      <c r="D8" s="26"/>
      <c r="E8" s="26"/>
      <c r="F8" s="26">
        <f>ROUND((A8*B8*C8)*D8*E8,2)</f>
        <v>0</v>
      </c>
      <c r="G8" s="26">
        <f>ROUND(F8*30.2%,2)</f>
        <v>0</v>
      </c>
      <c r="J8" s="41"/>
      <c r="K8" s="42"/>
      <c r="L8" s="41" t="s">
        <v>152</v>
      </c>
      <c r="M8" s="41" t="s">
        <v>151</v>
      </c>
      <c r="N8" s="41" t="s">
        <v>150</v>
      </c>
      <c r="O8" s="41" t="s">
        <v>149</v>
      </c>
      <c r="P8" s="41"/>
      <c r="Q8" s="41"/>
    </row>
    <row r="9" spans="1:17" ht="12.75">
      <c r="A9" s="26" t="s">
        <v>121</v>
      </c>
      <c r="B9" s="26"/>
      <c r="C9" s="26"/>
      <c r="D9" s="26"/>
      <c r="E9" s="26"/>
      <c r="F9" s="58">
        <f>F8+F7+F6</f>
        <v>0</v>
      </c>
      <c r="G9" s="58">
        <f>G8+G7+G6</f>
        <v>0</v>
      </c>
      <c r="J9" s="41">
        <v>1</v>
      </c>
      <c r="K9" s="42" t="s">
        <v>139</v>
      </c>
      <c r="L9" s="45">
        <v>68704</v>
      </c>
      <c r="M9" s="45">
        <v>8.5</v>
      </c>
      <c r="N9" s="41">
        <f>L9-O9</f>
        <v>68704</v>
      </c>
      <c r="O9" s="45">
        <v>0</v>
      </c>
      <c r="P9" s="41"/>
      <c r="Q9" s="41"/>
    </row>
    <row r="10" spans="10:17" ht="12.75">
      <c r="J10" s="41"/>
      <c r="K10" s="41" t="s">
        <v>138</v>
      </c>
      <c r="L10" s="41"/>
      <c r="M10" s="45">
        <v>0</v>
      </c>
      <c r="N10" s="45">
        <v>0</v>
      </c>
      <c r="O10" s="45">
        <v>0</v>
      </c>
      <c r="P10" s="41">
        <f>IF(M10=0,0,ROUND(N10/M10,2))</f>
        <v>0</v>
      </c>
      <c r="Q10" s="41">
        <f>IF(N10=0,0,O10/N10+1)</f>
        <v>0</v>
      </c>
    </row>
    <row r="11" spans="1:17" ht="28.5" customHeight="1" thickBot="1">
      <c r="A11" s="433" t="s">
        <v>159</v>
      </c>
      <c r="B11" s="433"/>
      <c r="C11" s="433"/>
      <c r="D11" s="433"/>
      <c r="E11" s="433"/>
      <c r="F11" s="433"/>
      <c r="G11" s="433"/>
      <c r="J11" s="41"/>
      <c r="K11" s="41" t="s">
        <v>137</v>
      </c>
      <c r="L11" s="41">
        <f>L9-L10</f>
        <v>68704</v>
      </c>
      <c r="M11" s="41">
        <f>M9-M10</f>
        <v>8.5</v>
      </c>
      <c r="N11" s="41">
        <f>N9-N10</f>
        <v>68704</v>
      </c>
      <c r="O11" s="41">
        <f>O9-O10</f>
        <v>0</v>
      </c>
      <c r="P11" s="41">
        <f>ROUND(N11/M11,2)</f>
        <v>8082.82</v>
      </c>
      <c r="Q11" s="41">
        <f>O11/N11+1</f>
        <v>1</v>
      </c>
    </row>
    <row r="12" spans="1:17" ht="25.5">
      <c r="A12" s="57" t="s">
        <v>158</v>
      </c>
      <c r="B12" s="31" t="s">
        <v>157</v>
      </c>
      <c r="C12" s="31" t="s">
        <v>145</v>
      </c>
      <c r="D12" s="434" t="s">
        <v>140</v>
      </c>
      <c r="E12" s="435"/>
      <c r="J12" s="42"/>
      <c r="K12" s="41"/>
      <c r="L12" s="41"/>
      <c r="M12" s="41"/>
      <c r="N12" s="41"/>
      <c r="O12" s="41"/>
      <c r="P12" s="41"/>
      <c r="Q12" s="41"/>
    </row>
    <row r="13" spans="1:17" ht="12.75">
      <c r="A13" s="27"/>
      <c r="B13" s="26"/>
      <c r="C13" s="26">
        <v>12</v>
      </c>
      <c r="D13" s="420"/>
      <c r="E13" s="421"/>
      <c r="J13" s="42">
        <v>2</v>
      </c>
      <c r="K13" s="42" t="s">
        <v>139</v>
      </c>
      <c r="L13" s="45"/>
      <c r="M13" s="45"/>
      <c r="N13" s="41">
        <f>L13-O13</f>
        <v>0</v>
      </c>
      <c r="O13" s="45"/>
      <c r="P13" s="41"/>
      <c r="Q13" s="41"/>
    </row>
    <row r="14" spans="1:17" ht="13.5" thickBot="1">
      <c r="A14" s="24"/>
      <c r="B14" s="23"/>
      <c r="C14" s="23"/>
      <c r="D14" s="424"/>
      <c r="E14" s="425"/>
      <c r="J14" s="52"/>
      <c r="K14" s="41" t="s">
        <v>138</v>
      </c>
      <c r="L14" s="41">
        <f>O14+N14</f>
        <v>0</v>
      </c>
      <c r="M14" s="45">
        <v>0</v>
      </c>
      <c r="N14" s="45">
        <v>0</v>
      </c>
      <c r="O14" s="45">
        <v>0</v>
      </c>
      <c r="P14" s="41">
        <f>IF(M14=0,0,ROUND(N14/M14,2))</f>
        <v>0</v>
      </c>
      <c r="Q14" s="41">
        <f>IF(N14=0,0,O14/N14+1)</f>
        <v>0</v>
      </c>
    </row>
    <row r="15" spans="1:17" ht="12" customHeight="1">
      <c r="A15" s="55"/>
      <c r="B15" s="55"/>
      <c r="C15" s="55"/>
      <c r="D15" s="55"/>
      <c r="E15" s="55"/>
      <c r="J15" s="52"/>
      <c r="K15" s="41" t="s">
        <v>137</v>
      </c>
      <c r="L15" s="41">
        <f>L13-L14</f>
        <v>0</v>
      </c>
      <c r="M15" s="41">
        <f>M13-M14</f>
        <v>0</v>
      </c>
      <c r="N15" s="41">
        <f>N13-N14</f>
        <v>0</v>
      </c>
      <c r="O15" s="41">
        <f>O13-O14</f>
        <v>0</v>
      </c>
      <c r="P15" s="41" t="e">
        <f>ROUND(N15/M15,2)</f>
        <v>#DIV/0!</v>
      </c>
      <c r="Q15" s="41" t="e">
        <f>O15/N15+1</f>
        <v>#DIV/0!</v>
      </c>
    </row>
    <row r="16" spans="1:17" ht="9" customHeight="1">
      <c r="A16" s="55"/>
      <c r="B16" s="55"/>
      <c r="C16" s="55"/>
      <c r="D16" s="55"/>
      <c r="E16" s="55"/>
      <c r="J16" s="52"/>
      <c r="K16" s="41"/>
      <c r="L16" s="41"/>
      <c r="M16" s="45"/>
      <c r="N16" s="45"/>
      <c r="O16" s="45"/>
      <c r="P16" s="41"/>
      <c r="Q16" s="41"/>
    </row>
    <row r="17" spans="1:17" ht="10.5" customHeight="1">
      <c r="A17" s="55"/>
      <c r="B17" s="55"/>
      <c r="C17" s="55"/>
      <c r="D17" s="55"/>
      <c r="E17" s="55"/>
      <c r="J17" s="56">
        <v>3</v>
      </c>
      <c r="K17" s="42" t="s">
        <v>139</v>
      </c>
      <c r="L17" s="45"/>
      <c r="M17" s="45"/>
      <c r="N17" s="41">
        <f>L17-O17</f>
        <v>0</v>
      </c>
      <c r="O17" s="45"/>
      <c r="P17" s="41"/>
      <c r="Q17" s="41"/>
    </row>
    <row r="18" spans="10:17" ht="12.75">
      <c r="J18" s="42"/>
      <c r="K18" s="41" t="s">
        <v>138</v>
      </c>
      <c r="L18" s="41">
        <f>O18+N18</f>
        <v>0</v>
      </c>
      <c r="M18" s="45">
        <v>0</v>
      </c>
      <c r="N18" s="45">
        <v>0</v>
      </c>
      <c r="O18" s="45">
        <v>0</v>
      </c>
      <c r="P18" s="41">
        <f>IF(M18=0,0,ROUND(N18/M18,2))</f>
        <v>0</v>
      </c>
      <c r="Q18" s="41">
        <f>IF(N18=0,0,O18/N18+1)</f>
        <v>0</v>
      </c>
    </row>
    <row r="19" spans="1:17" ht="30" customHeight="1" thickBot="1">
      <c r="A19" s="405" t="s">
        <v>156</v>
      </c>
      <c r="B19" s="405"/>
      <c r="C19" s="405"/>
      <c r="D19" s="405"/>
      <c r="E19" s="405"/>
      <c r="F19" s="405"/>
      <c r="G19" s="405"/>
      <c r="J19" s="42"/>
      <c r="K19" s="41" t="s">
        <v>137</v>
      </c>
      <c r="L19" s="41">
        <f>L17-L18</f>
        <v>0</v>
      </c>
      <c r="M19" s="41">
        <f>M17-M18</f>
        <v>0</v>
      </c>
      <c r="N19" s="41">
        <f>N17-N18</f>
        <v>0</v>
      </c>
      <c r="O19" s="41">
        <f>O17-O18</f>
        <v>0</v>
      </c>
      <c r="P19" s="41" t="e">
        <f>ROUND(N19/M19,2)</f>
        <v>#DIV/0!</v>
      </c>
      <c r="Q19" s="41" t="e">
        <f>O19/N19+1</f>
        <v>#DIV/0!</v>
      </c>
    </row>
    <row r="20" spans="1:10" ht="38.25">
      <c r="A20" s="32" t="s">
        <v>155</v>
      </c>
      <c r="B20" s="31" t="s">
        <v>154</v>
      </c>
      <c r="C20" s="31" t="s">
        <v>145</v>
      </c>
      <c r="D20" s="31" t="s">
        <v>123</v>
      </c>
      <c r="E20" s="30" t="s">
        <v>122</v>
      </c>
      <c r="J20" s="16" t="s">
        <v>153</v>
      </c>
    </row>
    <row r="21" spans="1:17" ht="12.75">
      <c r="A21" s="27"/>
      <c r="B21" s="26"/>
      <c r="C21" s="26">
        <v>12</v>
      </c>
      <c r="D21" s="29"/>
      <c r="E21" s="29">
        <f>ROUND(D21*30.2%,0)</f>
        <v>0</v>
      </c>
      <c r="J21" s="41"/>
      <c r="K21" s="42"/>
      <c r="L21" s="41" t="s">
        <v>152</v>
      </c>
      <c r="M21" s="41" t="s">
        <v>151</v>
      </c>
      <c r="N21" s="41" t="s">
        <v>150</v>
      </c>
      <c r="O21" s="41" t="s">
        <v>149</v>
      </c>
      <c r="P21" s="41" t="s">
        <v>148</v>
      </c>
      <c r="Q21" s="41"/>
    </row>
    <row r="22" spans="1:18" ht="12.75">
      <c r="A22" s="27"/>
      <c r="B22" s="26"/>
      <c r="C22" s="26"/>
      <c r="D22" s="29">
        <f>ROUND(A22*B22*C22,2)</f>
        <v>0</v>
      </c>
      <c r="E22" s="29">
        <f>ROUND(D22*30.2%,0)</f>
        <v>0</v>
      </c>
      <c r="J22" s="41">
        <v>1</v>
      </c>
      <c r="K22" s="42" t="s">
        <v>139</v>
      </c>
      <c r="L22" s="45">
        <v>1045533</v>
      </c>
      <c r="M22" s="45">
        <v>71.24</v>
      </c>
      <c r="N22" s="41">
        <f>L22-O22</f>
        <v>921196</v>
      </c>
      <c r="O22" s="45">
        <v>124337</v>
      </c>
      <c r="P22" s="45"/>
      <c r="Q22" s="41"/>
      <c r="R22" s="41"/>
    </row>
    <row r="23" spans="1:18" ht="12.75">
      <c r="A23" s="27"/>
      <c r="B23" s="26"/>
      <c r="C23" s="26"/>
      <c r="D23" s="29">
        <f>ROUND(A23*B23*C23,2)</f>
        <v>0</v>
      </c>
      <c r="E23" s="29">
        <f>ROUND(D23*30.2%,0)</f>
        <v>0</v>
      </c>
      <c r="J23" s="41"/>
      <c r="K23" s="41" t="s">
        <v>138</v>
      </c>
      <c r="L23" s="41">
        <f>O23+N23</f>
        <v>670161.97</v>
      </c>
      <c r="M23" s="45">
        <v>41.94</v>
      </c>
      <c r="N23" s="45">
        <v>545824.97</v>
      </c>
      <c r="O23" s="45">
        <v>124337</v>
      </c>
      <c r="P23" s="45"/>
      <c r="Q23" s="41">
        <f>ROUND((N23+P23)/M23,2)</f>
        <v>13014.42</v>
      </c>
      <c r="R23" s="41">
        <f>(O23-P23)/(N23+P23)+1</f>
        <v>1.2277964674280109</v>
      </c>
    </row>
    <row r="24" spans="1:18" ht="12.75">
      <c r="A24" s="27"/>
      <c r="B24" s="26"/>
      <c r="C24" s="26"/>
      <c r="D24" s="29">
        <f>ROUND(A24*B24*C24,2)</f>
        <v>0</v>
      </c>
      <c r="E24" s="29">
        <f>ROUND(D24*30.2%,0)</f>
        <v>0</v>
      </c>
      <c r="J24" s="41"/>
      <c r="K24" s="41" t="s">
        <v>137</v>
      </c>
      <c r="L24" s="41">
        <f>L22-L23</f>
        <v>375371.03</v>
      </c>
      <c r="M24" s="41">
        <f>M22-M23</f>
        <v>29.299999999999997</v>
      </c>
      <c r="N24" s="41">
        <f>N22-N23</f>
        <v>375371.03</v>
      </c>
      <c r="O24" s="41">
        <f>O22-O23</f>
        <v>0</v>
      </c>
      <c r="P24" s="41">
        <f>P22-P23</f>
        <v>0</v>
      </c>
      <c r="Q24" s="41">
        <f>ROUND((N24+P24)/M24,2)</f>
        <v>12811.3</v>
      </c>
      <c r="R24" s="41">
        <f>(O24-P24)/(N24+P24)+1</f>
        <v>1</v>
      </c>
    </row>
    <row r="25" spans="1:18" ht="13.5" thickBot="1">
      <c r="A25" s="24" t="s">
        <v>121</v>
      </c>
      <c r="B25" s="23"/>
      <c r="C25" s="23"/>
      <c r="D25" s="22">
        <f>D24+D22+D21+D23</f>
        <v>0</v>
      </c>
      <c r="E25" s="22">
        <f>E24+E22+E21+E23</f>
        <v>0</v>
      </c>
      <c r="J25" s="42"/>
      <c r="K25" s="41"/>
      <c r="L25" s="41"/>
      <c r="M25" s="41"/>
      <c r="N25" s="41"/>
      <c r="O25" s="41"/>
      <c r="P25" s="41"/>
      <c r="Q25" s="41"/>
      <c r="R25" s="41"/>
    </row>
    <row r="26" spans="1:18" ht="12.75" hidden="1">
      <c r="A26" s="55"/>
      <c r="B26" s="55"/>
      <c r="C26" s="55"/>
      <c r="D26" s="54"/>
      <c r="E26" s="54"/>
      <c r="J26" s="42"/>
      <c r="K26" s="41"/>
      <c r="L26" s="41"/>
      <c r="M26" s="41"/>
      <c r="N26" s="41"/>
      <c r="O26" s="41"/>
      <c r="P26" s="41"/>
      <c r="Q26" s="41"/>
      <c r="R26" s="41"/>
    </row>
    <row r="27" spans="1:18" ht="12.75" hidden="1">
      <c r="A27" s="55"/>
      <c r="B27" s="55"/>
      <c r="C27" s="55"/>
      <c r="D27" s="54"/>
      <c r="E27" s="54"/>
      <c r="J27" s="42"/>
      <c r="K27" s="41"/>
      <c r="L27" s="41"/>
      <c r="M27" s="41"/>
      <c r="N27" s="41"/>
      <c r="O27" s="41"/>
      <c r="P27" s="41"/>
      <c r="Q27" s="41"/>
      <c r="R27" s="41"/>
    </row>
    <row r="28" spans="1:18" ht="12.75" hidden="1">
      <c r="A28" s="55"/>
      <c r="B28" s="55"/>
      <c r="C28" s="55"/>
      <c r="D28" s="54"/>
      <c r="E28" s="54"/>
      <c r="J28" s="42"/>
      <c r="K28" s="41"/>
      <c r="L28" s="41"/>
      <c r="M28" s="41"/>
      <c r="N28" s="41"/>
      <c r="O28" s="41"/>
      <c r="P28" s="41"/>
      <c r="Q28" s="41"/>
      <c r="R28" s="41"/>
    </row>
    <row r="29" spans="1:18" ht="12.75" hidden="1">
      <c r="A29" s="55"/>
      <c r="B29" s="55"/>
      <c r="C29" s="55"/>
      <c r="D29" s="54"/>
      <c r="E29" s="54"/>
      <c r="J29" s="42"/>
      <c r="K29" s="41"/>
      <c r="L29" s="41"/>
      <c r="M29" s="41"/>
      <c r="N29" s="41"/>
      <c r="O29" s="41"/>
      <c r="P29" s="41"/>
      <c r="Q29" s="41"/>
      <c r="R29" s="41"/>
    </row>
    <row r="30" spans="1:19" ht="12.75">
      <c r="A30" s="15"/>
      <c r="J30" s="42">
        <v>2</v>
      </c>
      <c r="K30" s="42" t="s">
        <v>139</v>
      </c>
      <c r="L30" s="53">
        <v>1059658</v>
      </c>
      <c r="M30" s="45">
        <v>71.24</v>
      </c>
      <c r="N30" s="41">
        <f>L30-O30</f>
        <v>921196</v>
      </c>
      <c r="O30" s="53">
        <v>138462</v>
      </c>
      <c r="P30" s="45"/>
      <c r="Q30" s="41"/>
      <c r="R30" s="41"/>
      <c r="S30" s="49"/>
    </row>
    <row r="31" spans="1:18" ht="24" customHeight="1" thickBot="1">
      <c r="A31" s="419" t="s">
        <v>147</v>
      </c>
      <c r="B31" s="419"/>
      <c r="C31" s="419"/>
      <c r="D31" s="419"/>
      <c r="E31" s="419"/>
      <c r="F31" s="419"/>
      <c r="G31" s="419"/>
      <c r="J31" s="52"/>
      <c r="K31" s="41" t="s">
        <v>138</v>
      </c>
      <c r="L31" s="41">
        <f>O31+N31</f>
        <v>684286.97</v>
      </c>
      <c r="M31" s="45">
        <v>41.94</v>
      </c>
      <c r="N31" s="45">
        <v>545824.97</v>
      </c>
      <c r="O31" s="53">
        <v>138462</v>
      </c>
      <c r="P31" s="45"/>
      <c r="Q31" s="41">
        <f>ROUND((N31+P31)/M31,2)</f>
        <v>13014.42</v>
      </c>
      <c r="R31" s="50">
        <f>(O31-P31)/(N31+P31)+1</f>
        <v>1.2536747265336725</v>
      </c>
    </row>
    <row r="32" spans="1:18" ht="38.25">
      <c r="A32" s="26" t="s">
        <v>146</v>
      </c>
      <c r="B32" s="31" t="s">
        <v>127</v>
      </c>
      <c r="C32" s="31" t="s">
        <v>126</v>
      </c>
      <c r="D32" s="31" t="s">
        <v>145</v>
      </c>
      <c r="E32" s="31" t="s">
        <v>124</v>
      </c>
      <c r="F32" s="31" t="s">
        <v>123</v>
      </c>
      <c r="G32" s="30" t="s">
        <v>122</v>
      </c>
      <c r="H32" s="43"/>
      <c r="J32" s="42"/>
      <c r="K32" s="41" t="s">
        <v>137</v>
      </c>
      <c r="L32" s="41">
        <f>L30-L31</f>
        <v>375371.03</v>
      </c>
      <c r="M32" s="41">
        <f>M30-M31</f>
        <v>29.299999999999997</v>
      </c>
      <c r="N32" s="41">
        <f>N30-N31</f>
        <v>375371.03</v>
      </c>
      <c r="O32" s="41">
        <f>O30-O31</f>
        <v>0</v>
      </c>
      <c r="P32" s="41">
        <f>P30-P31</f>
        <v>0</v>
      </c>
      <c r="Q32" s="41">
        <f>ROUND((N32+P32)/M32,2)</f>
        <v>12811.3</v>
      </c>
      <c r="R32" s="41">
        <f>(O32-P32)/(N32+P32)+1</f>
        <v>1</v>
      </c>
    </row>
    <row r="33" spans="1:18" ht="12.75">
      <c r="A33" s="27">
        <f>M23</f>
        <v>41.94</v>
      </c>
      <c r="B33" s="26">
        <f>Q23</f>
        <v>13014.42</v>
      </c>
      <c r="C33" s="26">
        <f>R23</f>
        <v>1.2277964674280109</v>
      </c>
      <c r="D33" s="26">
        <v>8</v>
      </c>
      <c r="E33" s="26">
        <v>1</v>
      </c>
      <c r="F33" s="29">
        <f>ROUND((A33*B33*C33)*D33*E33,2)+1.92</f>
        <v>5361295.76</v>
      </c>
      <c r="G33" s="28">
        <f>ROUND(F33*30.2%,0)</f>
        <v>1619111</v>
      </c>
      <c r="H33" s="43"/>
      <c r="J33" s="42">
        <v>3</v>
      </c>
      <c r="K33" s="42" t="s">
        <v>139</v>
      </c>
      <c r="L33" s="53">
        <v>406212</v>
      </c>
      <c r="M33" s="45">
        <v>71.24</v>
      </c>
      <c r="N33" s="41">
        <f>L33-O33</f>
        <v>406212</v>
      </c>
      <c r="O33" s="45"/>
      <c r="P33" s="45"/>
      <c r="Q33" s="41"/>
      <c r="R33" s="41"/>
    </row>
    <row r="34" spans="1:18" ht="12.75">
      <c r="A34" s="27">
        <f>M31</f>
        <v>41.94</v>
      </c>
      <c r="B34" s="26">
        <f>Q31</f>
        <v>13014.42</v>
      </c>
      <c r="C34" s="51">
        <f>R31</f>
        <v>1.2536747265336725</v>
      </c>
      <c r="D34" s="26">
        <v>3</v>
      </c>
      <c r="E34" s="26">
        <v>1</v>
      </c>
      <c r="F34" s="29">
        <f>ROUND((A34*B34*C34)*D34*E34,2)+0.73</f>
        <v>2052860.91</v>
      </c>
      <c r="G34" s="28">
        <f>ROUND(F34*30.2%,0)</f>
        <v>619964</v>
      </c>
      <c r="H34" s="43"/>
      <c r="J34" s="52"/>
      <c r="K34" s="41" t="s">
        <v>138</v>
      </c>
      <c r="L34" s="41">
        <f>O34+N34</f>
        <v>406212</v>
      </c>
      <c r="M34" s="45">
        <v>41.94</v>
      </c>
      <c r="N34" s="45">
        <v>406212</v>
      </c>
      <c r="O34" s="45"/>
      <c r="P34" s="45"/>
      <c r="Q34" s="41">
        <f>ROUND((N34+P34)/M34,2)</f>
        <v>9685.55</v>
      </c>
      <c r="R34" s="50">
        <f>(O34-P34)/(N34+P34)+1</f>
        <v>1</v>
      </c>
    </row>
    <row r="35" spans="1:18" ht="12.75">
      <c r="A35" s="27">
        <f>M34</f>
        <v>41.94</v>
      </c>
      <c r="B35" s="26">
        <f>Q34</f>
        <v>9685.55</v>
      </c>
      <c r="C35" s="51">
        <v>1</v>
      </c>
      <c r="D35" s="26">
        <v>1</v>
      </c>
      <c r="E35" s="26">
        <v>1</v>
      </c>
      <c r="F35" s="29">
        <f>ROUND((A35*B35*C35)*D35*E35,2)+0.03</f>
        <v>406212</v>
      </c>
      <c r="G35" s="28">
        <f>ROUND(F35*30.2%,0)</f>
        <v>122676</v>
      </c>
      <c r="H35" s="43"/>
      <c r="I35" s="43"/>
      <c r="J35" s="42"/>
      <c r="K35" s="41" t="s">
        <v>137</v>
      </c>
      <c r="L35" s="41">
        <f>L33-L34</f>
        <v>0</v>
      </c>
      <c r="M35" s="41">
        <f>M33-M34</f>
        <v>29.299999999999997</v>
      </c>
      <c r="N35" s="41">
        <f>N33-N34</f>
        <v>0</v>
      </c>
      <c r="O35" s="41">
        <f>O33-O34</f>
        <v>0</v>
      </c>
      <c r="P35" s="41">
        <f>P33-P34</f>
        <v>0</v>
      </c>
      <c r="Q35" s="41">
        <f>ROUND((N35+P35)/M35,2)</f>
        <v>0</v>
      </c>
      <c r="R35" s="41" t="e">
        <f>(O35-P35)/(N35+P35)+1</f>
        <v>#DIV/0!</v>
      </c>
    </row>
    <row r="36" spans="1:18" ht="12.75" hidden="1">
      <c r="A36" s="27">
        <f>M39</f>
        <v>0</v>
      </c>
      <c r="B36" s="26"/>
      <c r="C36" s="26"/>
      <c r="D36" s="26"/>
      <c r="E36" s="26">
        <v>1</v>
      </c>
      <c r="F36" s="29">
        <f>ROUND((A36*B36*C36)*D36*E36,2)</f>
        <v>0</v>
      </c>
      <c r="G36" s="28">
        <f>ROUND(F36*30.2%,0)</f>
        <v>0</v>
      </c>
      <c r="H36" s="43"/>
      <c r="J36" s="42"/>
      <c r="K36" s="42"/>
      <c r="L36" s="42"/>
      <c r="M36" s="41"/>
      <c r="N36" s="41"/>
      <c r="O36" s="41"/>
      <c r="P36" s="41"/>
      <c r="Q36" s="41"/>
      <c r="R36" s="41"/>
    </row>
    <row r="37" spans="1:18" ht="12.75" hidden="1">
      <c r="A37" s="27"/>
      <c r="B37" s="26"/>
      <c r="C37" s="26"/>
      <c r="D37" s="26"/>
      <c r="E37" s="26"/>
      <c r="F37" s="29">
        <f>ROUND((A37*B37*C37)*D37*E37,2)</f>
        <v>0</v>
      </c>
      <c r="G37" s="28">
        <f>ROUND(F37*30.2%,0)</f>
        <v>0</v>
      </c>
      <c r="H37" s="43"/>
      <c r="J37" s="42"/>
      <c r="K37" s="42"/>
      <c r="L37" s="42"/>
      <c r="M37" s="41"/>
      <c r="N37" s="41"/>
      <c r="O37" s="41"/>
      <c r="P37" s="41"/>
      <c r="Q37" s="41"/>
      <c r="R37" s="41"/>
    </row>
    <row r="38" spans="1:18" ht="13.5" thickBot="1">
      <c r="A38" s="24" t="s">
        <v>121</v>
      </c>
      <c r="B38" s="23"/>
      <c r="C38" s="23"/>
      <c r="D38" s="23"/>
      <c r="E38" s="23"/>
      <c r="F38" s="22">
        <f>F37+F35+F33+F36+F34</f>
        <v>7820368.67</v>
      </c>
      <c r="G38" s="22">
        <f>G37+G35+G33+G36+G34</f>
        <v>2361751</v>
      </c>
      <c r="H38" s="43"/>
      <c r="J38" s="42">
        <v>4</v>
      </c>
      <c r="K38" s="42" t="s">
        <v>139</v>
      </c>
      <c r="L38" s="45"/>
      <c r="M38" s="45"/>
      <c r="N38" s="41">
        <f>L38-O38</f>
        <v>0</v>
      </c>
      <c r="O38" s="45"/>
      <c r="P38" s="45"/>
      <c r="Q38" s="41"/>
      <c r="R38" s="41"/>
    </row>
    <row r="39" spans="8:19" ht="12.75">
      <c r="H39" s="43"/>
      <c r="J39" s="42"/>
      <c r="K39" s="41" t="s">
        <v>138</v>
      </c>
      <c r="L39" s="41">
        <f>O39+N39</f>
        <v>0</v>
      </c>
      <c r="M39" s="45"/>
      <c r="N39" s="45"/>
      <c r="O39" s="45"/>
      <c r="P39" s="45"/>
      <c r="Q39" s="41" t="e">
        <f>ROUND((N39+P39)/M39,2)</f>
        <v>#DIV/0!</v>
      </c>
      <c r="R39" s="50" t="e">
        <f>(O39-P39)/(N39+P39)+1</f>
        <v>#DIV/0!</v>
      </c>
      <c r="S39" s="49"/>
    </row>
    <row r="40" spans="1:18" ht="21.75" customHeight="1" thickBot="1">
      <c r="A40" s="428" t="s">
        <v>144</v>
      </c>
      <c r="B40" s="428"/>
      <c r="C40" s="428"/>
      <c r="D40" s="428"/>
      <c r="E40" s="428"/>
      <c r="F40" s="428"/>
      <c r="G40" s="428"/>
      <c r="J40" s="42"/>
      <c r="K40" s="41" t="s">
        <v>137</v>
      </c>
      <c r="L40" s="41">
        <f>L38-L39</f>
        <v>0</v>
      </c>
      <c r="M40" s="41">
        <f>M38-M39</f>
        <v>0</v>
      </c>
      <c r="N40" s="41">
        <f>N38-N39</f>
        <v>0</v>
      </c>
      <c r="O40" s="41">
        <f>O38-O39</f>
        <v>0</v>
      </c>
      <c r="P40" s="41">
        <f>P38-P39</f>
        <v>0</v>
      </c>
      <c r="Q40" s="41" t="e">
        <f>ROUND((N40+P40)/M40,2)</f>
        <v>#DIV/0!</v>
      </c>
      <c r="R40" s="41" t="e">
        <f>(O40-P40)/(N40+P40)+1</f>
        <v>#DIV/0!</v>
      </c>
    </row>
    <row r="41" spans="1:10" ht="12.75">
      <c r="A41" s="48" t="s">
        <v>143</v>
      </c>
      <c r="B41" s="47" t="s">
        <v>142</v>
      </c>
      <c r="C41" s="31" t="s">
        <v>141</v>
      </c>
      <c r="D41" s="426" t="s">
        <v>140</v>
      </c>
      <c r="E41" s="427"/>
      <c r="G41" s="43"/>
      <c r="J41" s="15"/>
    </row>
    <row r="42" spans="1:18" ht="25.5">
      <c r="A42" s="44">
        <v>226</v>
      </c>
      <c r="B42" s="39">
        <f>D42/C42</f>
        <v>37.035413153457</v>
      </c>
      <c r="C42" s="46">
        <v>593</v>
      </c>
      <c r="D42" s="422">
        <f>проверка!C10</f>
        <v>21962</v>
      </c>
      <c r="E42" s="423"/>
      <c r="F42" s="16" t="s">
        <v>332</v>
      </c>
      <c r="G42" s="43"/>
      <c r="J42" s="42">
        <v>3</v>
      </c>
      <c r="K42" s="42" t="s">
        <v>139</v>
      </c>
      <c r="L42" s="45"/>
      <c r="M42" s="45"/>
      <c r="N42" s="41">
        <f>L42-O42</f>
        <v>0</v>
      </c>
      <c r="O42" s="45"/>
      <c r="P42" s="45"/>
      <c r="Q42" s="41"/>
      <c r="R42" s="41"/>
    </row>
    <row r="43" spans="1:18" ht="12.75">
      <c r="A43" s="44">
        <v>226</v>
      </c>
      <c r="B43" s="39">
        <f>D43/C43</f>
        <v>46.9993591905565</v>
      </c>
      <c r="C43" s="26">
        <v>593</v>
      </c>
      <c r="D43" s="422">
        <f>проверка!C11</f>
        <v>27870.620000000003</v>
      </c>
      <c r="E43" s="423"/>
      <c r="G43" s="43"/>
      <c r="J43" s="42"/>
      <c r="K43" s="41" t="s">
        <v>138</v>
      </c>
      <c r="L43" s="41">
        <f>O43+N43</f>
        <v>0</v>
      </c>
      <c r="M43" s="45"/>
      <c r="N43" s="45"/>
      <c r="O43" s="45"/>
      <c r="P43" s="45"/>
      <c r="Q43" s="41"/>
      <c r="R43" s="41"/>
    </row>
    <row r="44" spans="1:18" ht="12.75">
      <c r="A44" s="44">
        <v>221</v>
      </c>
      <c r="B44" s="39">
        <f>D44/C44</f>
        <v>189.8426981450253</v>
      </c>
      <c r="C44" s="26">
        <v>593</v>
      </c>
      <c r="D44" s="422">
        <f>проверка!C9</f>
        <v>112576.72</v>
      </c>
      <c r="E44" s="423"/>
      <c r="G44" s="43"/>
      <c r="J44" s="42"/>
      <c r="K44" s="41" t="s">
        <v>137</v>
      </c>
      <c r="L44" s="41">
        <f>L42-L43</f>
        <v>0</v>
      </c>
      <c r="M44" s="41">
        <f>M42-M43</f>
        <v>0</v>
      </c>
      <c r="N44" s="41">
        <f>N42-N43</f>
        <v>0</v>
      </c>
      <c r="O44" s="41">
        <f>O42-O43</f>
        <v>0</v>
      </c>
      <c r="P44" s="41">
        <f>P42-P43</f>
        <v>0</v>
      </c>
      <c r="Q44" s="41"/>
      <c r="R44" s="41"/>
    </row>
    <row r="45" spans="1:18" ht="12.75">
      <c r="A45" s="40">
        <v>310</v>
      </c>
      <c r="B45" s="39">
        <f>D45/C45</f>
        <v>233.45622895622895</v>
      </c>
      <c r="C45" s="26">
        <f>593+1</f>
        <v>594</v>
      </c>
      <c r="D45" s="422">
        <f>проверка!C12</f>
        <v>138673</v>
      </c>
      <c r="E45" s="423"/>
      <c r="J45" s="36"/>
      <c r="K45" s="35"/>
      <c r="L45" s="35"/>
      <c r="M45" s="35"/>
      <c r="N45" s="35"/>
      <c r="O45" s="35"/>
      <c r="P45" s="35"/>
      <c r="Q45" s="35"/>
      <c r="R45" s="35"/>
    </row>
    <row r="46" spans="1:18" ht="15.75" customHeight="1" thickBot="1">
      <c r="A46" s="38">
        <v>340</v>
      </c>
      <c r="B46" s="37">
        <f>D46/C46</f>
        <v>64.2085328836425</v>
      </c>
      <c r="C46" s="26">
        <v>593</v>
      </c>
      <c r="D46" s="429">
        <f>проверка!C13</f>
        <v>38075.66</v>
      </c>
      <c r="E46" s="430"/>
      <c r="J46" s="36"/>
      <c r="K46" s="35"/>
      <c r="L46" s="35"/>
      <c r="M46" s="35"/>
      <c r="N46" s="35"/>
      <c r="O46" s="35"/>
      <c r="P46" s="35"/>
      <c r="Q46" s="35"/>
      <c r="R46" s="35"/>
    </row>
    <row r="47" spans="10:18" ht="12.75" hidden="1">
      <c r="J47" s="36"/>
      <c r="K47" s="35"/>
      <c r="L47" s="35"/>
      <c r="M47" s="35"/>
      <c r="N47" s="35"/>
      <c r="O47" s="35"/>
      <c r="P47" s="35"/>
      <c r="Q47" s="35"/>
      <c r="R47" s="35"/>
    </row>
    <row r="48" ht="51" hidden="1">
      <c r="A48" s="16" t="s">
        <v>326</v>
      </c>
    </row>
    <row r="49" ht="12.75" hidden="1"/>
    <row r="50" spans="1:12" ht="12.75">
      <c r="A50" s="19"/>
      <c r="B50" s="19"/>
      <c r="C50" s="19"/>
      <c r="D50" s="19"/>
      <c r="E50" s="20"/>
      <c r="L50" s="15">
        <f>L42-L38</f>
        <v>0</v>
      </c>
    </row>
    <row r="51" spans="1:5" ht="12.75">
      <c r="A51" s="19" t="str">
        <f>свод!A147</f>
        <v>Директор МБОУ "Кадетская школа № 46 г. Пензы"</v>
      </c>
      <c r="B51" s="15"/>
      <c r="C51" s="15"/>
      <c r="D51" s="15" t="str">
        <f>свод!I147</f>
        <v>Борисов В.А.</v>
      </c>
      <c r="E51" s="18"/>
    </row>
    <row r="52" spans="1:5" ht="12.75">
      <c r="A52" s="15" t="s">
        <v>364</v>
      </c>
      <c r="B52" s="15"/>
      <c r="C52" s="15" t="str">
        <f>свод!I150</f>
        <v>Нелюбова Н.Е.</v>
      </c>
      <c r="D52" s="15"/>
      <c r="E52" s="18"/>
    </row>
    <row r="53" spans="6:7" ht="12.75">
      <c r="F53" s="432" t="s">
        <v>136</v>
      </c>
      <c r="G53" s="432"/>
    </row>
    <row r="54" spans="1:7" ht="18.75">
      <c r="A54" s="431" t="s">
        <v>135</v>
      </c>
      <c r="B54" s="431"/>
      <c r="C54" s="431"/>
      <c r="D54" s="431"/>
      <c r="E54" s="431"/>
      <c r="F54" s="431"/>
      <c r="G54" s="431"/>
    </row>
    <row r="55" spans="1:7" ht="20.25">
      <c r="A55" s="34"/>
      <c r="B55" s="34"/>
      <c r="C55" s="34"/>
      <c r="D55" s="34"/>
      <c r="E55" s="34"/>
      <c r="F55" s="34"/>
      <c r="G55" s="34"/>
    </row>
    <row r="56" spans="1:7" ht="49.5" customHeight="1">
      <c r="A56" s="405" t="s">
        <v>134</v>
      </c>
      <c r="B56" s="405"/>
      <c r="C56" s="405"/>
      <c r="D56" s="405"/>
      <c r="E56" s="405"/>
      <c r="F56" s="405"/>
      <c r="G56" s="405"/>
    </row>
    <row r="57" spans="1:7" ht="38.25">
      <c r="A57" s="26" t="s">
        <v>128</v>
      </c>
      <c r="B57" s="26" t="s">
        <v>127</v>
      </c>
      <c r="C57" s="26" t="s">
        <v>126</v>
      </c>
      <c r="D57" s="26" t="s">
        <v>125</v>
      </c>
      <c r="E57" s="26" t="s">
        <v>124</v>
      </c>
      <c r="F57" s="26" t="s">
        <v>123</v>
      </c>
      <c r="G57" s="26" t="s">
        <v>122</v>
      </c>
    </row>
    <row r="58" spans="1:7" ht="12.75">
      <c r="A58" s="26">
        <f>M11</f>
        <v>8.5</v>
      </c>
      <c r="B58" s="26">
        <f>P11</f>
        <v>8082.82</v>
      </c>
      <c r="C58" s="26">
        <f>Q11</f>
        <v>1</v>
      </c>
      <c r="D58" s="26">
        <v>12</v>
      </c>
      <c r="E58" s="26">
        <v>1</v>
      </c>
      <c r="F58" s="26">
        <f>ROUND((A58*B58*C58)*D58,0)</f>
        <v>824448</v>
      </c>
      <c r="G58" s="26">
        <f>ROUND(F58*30.2%,2)+17.7</f>
        <v>249001</v>
      </c>
    </row>
    <row r="59" spans="1:7" ht="12.75" hidden="1">
      <c r="A59" s="26">
        <f>M15</f>
        <v>0</v>
      </c>
      <c r="B59" s="26"/>
      <c r="C59" s="26"/>
      <c r="D59" s="26"/>
      <c r="E59" s="26"/>
      <c r="F59" s="26">
        <f>ROUND(A59*B59*C59*D59*E59,0)</f>
        <v>0</v>
      </c>
      <c r="G59" s="26">
        <f>ROUND(F59*30.2%,0)</f>
        <v>0</v>
      </c>
    </row>
    <row r="60" spans="1:7" ht="12.75" hidden="1">
      <c r="A60" s="26">
        <f>M18</f>
        <v>0</v>
      </c>
      <c r="B60" s="26"/>
      <c r="C60" s="26"/>
      <c r="D60" s="26"/>
      <c r="E60" s="26"/>
      <c r="F60" s="26">
        <f>ROUND(A60*B60*C60*D60*E60,0)</f>
        <v>0</v>
      </c>
      <c r="G60" s="26">
        <f>ROUND(F60*30.2%,0)</f>
        <v>0</v>
      </c>
    </row>
    <row r="61" spans="1:7" ht="12.75">
      <c r="A61" s="26" t="s">
        <v>121</v>
      </c>
      <c r="B61" s="26"/>
      <c r="C61" s="26"/>
      <c r="D61" s="26"/>
      <c r="E61" s="26"/>
      <c r="F61" s="26">
        <f>SUM(F58:F60)</f>
        <v>824448</v>
      </c>
      <c r="G61" s="26">
        <f>SUM(G58:G60)</f>
        <v>249001</v>
      </c>
    </row>
    <row r="62" ht="13.5" thickBot="1"/>
    <row r="63" spans="1:7" ht="102">
      <c r="A63" s="32" t="s">
        <v>133</v>
      </c>
      <c r="B63" s="31" t="s">
        <v>132</v>
      </c>
      <c r="C63" s="31" t="s">
        <v>125</v>
      </c>
      <c r="D63" s="30" t="s">
        <v>131</v>
      </c>
      <c r="G63" s="16" t="s">
        <v>130</v>
      </c>
    </row>
    <row r="64" spans="1:11" ht="13.5" thickBot="1">
      <c r="A64" s="24">
        <v>50</v>
      </c>
      <c r="B64" s="233">
        <v>5</v>
      </c>
      <c r="C64" s="23">
        <v>12</v>
      </c>
      <c r="D64" s="33">
        <f>A64*B64*C64</f>
        <v>3000</v>
      </c>
      <c r="K64" s="16"/>
    </row>
    <row r="65" ht="12.75">
      <c r="K65" s="16"/>
    </row>
    <row r="66" ht="12.75">
      <c r="K66" s="16"/>
    </row>
    <row r="67" spans="1:7" ht="55.5" customHeight="1" thickBot="1">
      <c r="A67" s="405" t="s">
        <v>129</v>
      </c>
      <c r="B67" s="405"/>
      <c r="C67" s="405"/>
      <c r="D67" s="405"/>
      <c r="E67" s="405"/>
      <c r="F67" s="405"/>
      <c r="G67" s="405"/>
    </row>
    <row r="68" spans="1:10" ht="38.25">
      <c r="A68" s="32" t="s">
        <v>128</v>
      </c>
      <c r="B68" s="31" t="s">
        <v>127</v>
      </c>
      <c r="C68" s="31" t="s">
        <v>126</v>
      </c>
      <c r="D68" s="31" t="s">
        <v>125</v>
      </c>
      <c r="E68" s="31" t="s">
        <v>124</v>
      </c>
      <c r="F68" s="31" t="s">
        <v>123</v>
      </c>
      <c r="G68" s="30" t="s">
        <v>122</v>
      </c>
      <c r="J68" s="16">
        <f>375371.03*8</f>
        <v>3002968.24</v>
      </c>
    </row>
    <row r="69" spans="1:10" ht="12.75">
      <c r="A69" s="27">
        <f>M24</f>
        <v>29.299999999999997</v>
      </c>
      <c r="B69" s="26">
        <f>Q24</f>
        <v>12811.3</v>
      </c>
      <c r="C69" s="26">
        <f>R24</f>
        <v>1</v>
      </c>
      <c r="D69" s="26">
        <v>8</v>
      </c>
      <c r="E69" s="26">
        <v>1</v>
      </c>
      <c r="F69" s="29">
        <f>ROUND((A69*B69*C69)*D69*E69,2)-0.48</f>
        <v>3002968.24</v>
      </c>
      <c r="G69" s="28">
        <f>ROUND(F69*30.2%,0)+1</f>
        <v>906897</v>
      </c>
      <c r="J69" s="16">
        <v>1126113.09</v>
      </c>
    </row>
    <row r="70" spans="1:7" ht="12.75">
      <c r="A70" s="27">
        <f>M32</f>
        <v>29.299999999999997</v>
      </c>
      <c r="B70" s="26">
        <f>Q32</f>
        <v>12811.3</v>
      </c>
      <c r="C70" s="26">
        <f>R32</f>
        <v>1</v>
      </c>
      <c r="D70" s="26">
        <v>3</v>
      </c>
      <c r="E70" s="26">
        <v>1</v>
      </c>
      <c r="F70" s="29">
        <f>ROUND((A70*B70*C70)*D70*E70,2)-0.18</f>
        <v>1126113.09</v>
      </c>
      <c r="G70" s="28">
        <f>ROUND(F70*30.2%,0)</f>
        <v>340086</v>
      </c>
    </row>
    <row r="71" spans="1:7" ht="12.75" hidden="1">
      <c r="A71" s="27">
        <f>M35</f>
        <v>29.299999999999997</v>
      </c>
      <c r="B71" s="26"/>
      <c r="C71" s="26"/>
      <c r="D71" s="26">
        <v>1</v>
      </c>
      <c r="E71" s="26">
        <v>1</v>
      </c>
      <c r="F71" s="29">
        <f>ROUND((A71*B71*C71)*D71*E71,2)</f>
        <v>0</v>
      </c>
      <c r="G71" s="28">
        <f>ROUND(F71*30.2%,0)</f>
        <v>0</v>
      </c>
    </row>
    <row r="72" spans="1:7" ht="12.75" hidden="1">
      <c r="A72" s="27">
        <f>M40</f>
        <v>0</v>
      </c>
      <c r="B72" s="26"/>
      <c r="C72" s="26"/>
      <c r="D72" s="26"/>
      <c r="E72" s="26"/>
      <c r="F72" s="29">
        <f>ROUND((A72*B72*C72)*D72*E72,2)</f>
        <v>0</v>
      </c>
      <c r="G72" s="28">
        <f>ROUND(F72*30.2%,0)</f>
        <v>0</v>
      </c>
    </row>
    <row r="73" spans="1:7" ht="12.75" hidden="1">
      <c r="A73" s="27">
        <f>M44</f>
        <v>0</v>
      </c>
      <c r="B73" s="26">
        <f>Q44</f>
        <v>0</v>
      </c>
      <c r="C73" s="26">
        <f>R44</f>
        <v>0</v>
      </c>
      <c r="D73" s="26"/>
      <c r="E73" s="26"/>
      <c r="F73" s="26">
        <f>ROUND((A73*B73*C73)*D73*E73,2)</f>
        <v>0</v>
      </c>
      <c r="G73" s="25">
        <f>ROUND(F73*30.2%,0)</f>
        <v>0</v>
      </c>
    </row>
    <row r="74" spans="1:7" ht="12.75" hidden="1">
      <c r="A74" s="27"/>
      <c r="B74" s="26"/>
      <c r="C74" s="26"/>
      <c r="D74" s="26"/>
      <c r="E74" s="26"/>
      <c r="F74" s="26"/>
      <c r="G74" s="25"/>
    </row>
    <row r="75" spans="1:7" ht="13.5" thickBot="1">
      <c r="A75" s="24" t="s">
        <v>121</v>
      </c>
      <c r="B75" s="23"/>
      <c r="C75" s="23"/>
      <c r="D75" s="23"/>
      <c r="E75" s="23"/>
      <c r="F75" s="22">
        <f>SUM(F69:F74)</f>
        <v>4129081.33</v>
      </c>
      <c r="G75" s="21">
        <f>SUM(G69:G74)</f>
        <v>1246983</v>
      </c>
    </row>
    <row r="77" spans="1:10" ht="12.75">
      <c r="A77" s="96" t="str">
        <f>свод!A147</f>
        <v>Директор МБОУ "Кадетская школа № 46 г. Пензы"</v>
      </c>
      <c r="B77" s="19"/>
      <c r="C77" s="19"/>
      <c r="D77" s="19" t="str">
        <f>свод!I147</f>
        <v>Борисов В.А.</v>
      </c>
      <c r="E77" s="20"/>
      <c r="F77" s="287"/>
      <c r="G77" s="287"/>
      <c r="H77" s="15"/>
      <c r="I77" s="15"/>
      <c r="J77" s="15"/>
    </row>
    <row r="78" spans="1:10" ht="12.75">
      <c r="A78" s="90"/>
      <c r="B78" s="15"/>
      <c r="C78" s="15"/>
      <c r="D78" s="15"/>
      <c r="E78" s="18"/>
      <c r="F78" s="15"/>
      <c r="G78" s="17"/>
      <c r="H78" s="15"/>
      <c r="I78" s="15"/>
      <c r="J78" s="15"/>
    </row>
    <row r="79" spans="1:10" ht="12.75">
      <c r="A79" s="90"/>
      <c r="B79" s="15"/>
      <c r="C79" s="15"/>
      <c r="D79" s="15"/>
      <c r="E79" s="18"/>
      <c r="F79" s="288"/>
      <c r="G79" s="289"/>
      <c r="H79" s="15"/>
      <c r="I79" s="15"/>
      <c r="J79" s="15"/>
    </row>
    <row r="80" spans="1:10" ht="12.75">
      <c r="A80" s="90" t="s">
        <v>327</v>
      </c>
      <c r="B80" s="15"/>
      <c r="C80" s="15"/>
      <c r="D80" s="15" t="str">
        <f>свод!I150</f>
        <v>Нелюбова Н.Е.</v>
      </c>
      <c r="E80" s="18"/>
      <c r="F80" s="15"/>
      <c r="G80" s="17"/>
      <c r="H80" s="15"/>
      <c r="I80" s="15"/>
      <c r="J80" s="15"/>
    </row>
  </sheetData>
  <sheetProtection/>
  <mergeCells count="21">
    <mergeCell ref="A11:G11"/>
    <mergeCell ref="D12:E12"/>
    <mergeCell ref="F1:G1"/>
    <mergeCell ref="A2:G2"/>
    <mergeCell ref="F3:G3"/>
    <mergeCell ref="A4:G4"/>
    <mergeCell ref="A67:G67"/>
    <mergeCell ref="D45:E45"/>
    <mergeCell ref="D46:E46"/>
    <mergeCell ref="A54:G54"/>
    <mergeCell ref="A56:G56"/>
    <mergeCell ref="F53:G53"/>
    <mergeCell ref="A31:G31"/>
    <mergeCell ref="D13:E13"/>
    <mergeCell ref="D44:E44"/>
    <mergeCell ref="D14:E14"/>
    <mergeCell ref="D43:E43"/>
    <mergeCell ref="D42:E42"/>
    <mergeCell ref="D41:E41"/>
    <mergeCell ref="A19:G19"/>
    <mergeCell ref="A40:G40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r:id="rId3"/>
  <rowBreaks count="1" manualBreakCount="1">
    <brk id="5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8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3.421875" style="15" customWidth="1"/>
    <col min="2" max="2" width="16.8515625" style="15" customWidth="1"/>
    <col min="3" max="4" width="12.8515625" style="15" customWidth="1"/>
    <col min="5" max="5" width="13.00390625" style="15" customWidth="1"/>
    <col min="6" max="6" width="11.7109375" style="15" customWidth="1"/>
    <col min="7" max="7" width="10.421875" style="15" customWidth="1"/>
    <col min="8" max="16384" width="9.140625" style="15" customWidth="1"/>
  </cols>
  <sheetData>
    <row r="1" spans="1:7" ht="12.75">
      <c r="A1" s="62"/>
      <c r="B1" s="62"/>
      <c r="C1" s="62"/>
      <c r="D1" s="62"/>
      <c r="E1" s="440" t="s">
        <v>204</v>
      </c>
      <c r="F1" s="440"/>
      <c r="G1" s="62"/>
    </row>
    <row r="2" spans="1:7" ht="13.5" thickBot="1">
      <c r="A2" s="441" t="s">
        <v>203</v>
      </c>
      <c r="B2" s="441"/>
      <c r="C2" s="441"/>
      <c r="D2" s="441"/>
      <c r="E2" s="441"/>
      <c r="F2" s="441"/>
      <c r="G2" s="62"/>
    </row>
    <row r="3" spans="1:7" s="88" customFormat="1" ht="13.5" hidden="1" thickBot="1">
      <c r="A3" s="87"/>
      <c r="B3" s="87"/>
      <c r="C3" s="87"/>
      <c r="D3" s="87"/>
      <c r="E3" s="87"/>
      <c r="F3" s="87"/>
      <c r="G3" s="84"/>
    </row>
    <row r="4" spans="1:7" ht="13.5" hidden="1" thickBot="1">
      <c r="A4" s="87"/>
      <c r="B4" s="87"/>
      <c r="C4" s="87"/>
      <c r="D4" s="87"/>
      <c r="E4" s="87"/>
      <c r="F4" s="87"/>
      <c r="G4" s="62"/>
    </row>
    <row r="5" spans="1:7" s="16" customFormat="1" ht="24">
      <c r="A5" s="79"/>
      <c r="B5" s="78" t="s">
        <v>181</v>
      </c>
      <c r="C5" s="78" t="s">
        <v>180</v>
      </c>
      <c r="D5" s="78" t="s">
        <v>125</v>
      </c>
      <c r="E5" s="78" t="s">
        <v>124</v>
      </c>
      <c r="F5" s="77" t="s">
        <v>179</v>
      </c>
      <c r="G5" s="80"/>
    </row>
    <row r="6" spans="1:7" ht="12.75">
      <c r="A6" s="72" t="s">
        <v>202</v>
      </c>
      <c r="B6" s="70">
        <v>7647.3</v>
      </c>
      <c r="C6" s="70">
        <v>1</v>
      </c>
      <c r="D6" s="70">
        <v>12</v>
      </c>
      <c r="E6" s="70">
        <v>1</v>
      </c>
      <c r="F6" s="234">
        <f>ROUND(B6*C6*D6*E6,2)</f>
        <v>91767.6</v>
      </c>
      <c r="G6" s="62"/>
    </row>
    <row r="7" spans="1:7" ht="12.75" hidden="1">
      <c r="A7" s="72" t="s">
        <v>202</v>
      </c>
      <c r="B7" s="70"/>
      <c r="C7" s="70">
        <v>1</v>
      </c>
      <c r="D7" s="70">
        <v>0</v>
      </c>
      <c r="E7" s="70">
        <v>1</v>
      </c>
      <c r="F7" s="69">
        <f>ROUND(B7*C7*D7*E7,2)</f>
        <v>0</v>
      </c>
      <c r="G7" s="62"/>
    </row>
    <row r="8" spans="1:7" ht="12.75" hidden="1">
      <c r="A8" s="72" t="s">
        <v>202</v>
      </c>
      <c r="B8" s="70"/>
      <c r="C8" s="70">
        <v>1</v>
      </c>
      <c r="D8" s="70">
        <v>0</v>
      </c>
      <c r="E8" s="70">
        <v>1</v>
      </c>
      <c r="F8" s="69">
        <f>ROUND(B8*C8*D8*E8,2)</f>
        <v>0</v>
      </c>
      <c r="G8" s="62"/>
    </row>
    <row r="9" spans="1:7" ht="12.75">
      <c r="A9" s="72" t="s">
        <v>201</v>
      </c>
      <c r="B9" s="70">
        <v>256.85</v>
      </c>
      <c r="C9" s="70">
        <v>1</v>
      </c>
      <c r="D9" s="70">
        <v>12</v>
      </c>
      <c r="E9" s="70">
        <v>1</v>
      </c>
      <c r="F9" s="234">
        <f>ROUND(B9*C9*D9*E9,2)</f>
        <v>3082.2</v>
      </c>
      <c r="G9" s="62"/>
    </row>
    <row r="10" spans="1:7" ht="12.75">
      <c r="A10" s="72" t="s">
        <v>200</v>
      </c>
      <c r="B10" s="70">
        <v>1320</v>
      </c>
      <c r="C10" s="70">
        <v>1</v>
      </c>
      <c r="D10" s="70">
        <v>12</v>
      </c>
      <c r="E10" s="70">
        <v>1</v>
      </c>
      <c r="F10" s="234">
        <f>ROUND(B10*C10*D10*E10,0)</f>
        <v>15840</v>
      </c>
      <c r="G10" s="62"/>
    </row>
    <row r="11" spans="1:7" ht="36">
      <c r="A11" s="72" t="s">
        <v>363</v>
      </c>
      <c r="B11" s="70">
        <v>0</v>
      </c>
      <c r="C11" s="70">
        <v>1</v>
      </c>
      <c r="D11" s="70">
        <v>1</v>
      </c>
      <c r="E11" s="70">
        <v>1</v>
      </c>
      <c r="F11" s="234">
        <f aca="true" t="shared" si="0" ref="F11:F19">ROUND(B11*C11*D11*E11,2)</f>
        <v>0</v>
      </c>
      <c r="G11" s="62"/>
    </row>
    <row r="12" spans="1:7" ht="24">
      <c r="A12" s="72" t="s">
        <v>199</v>
      </c>
      <c r="B12" s="70">
        <v>2684</v>
      </c>
      <c r="C12" s="70">
        <v>1</v>
      </c>
      <c r="D12" s="70">
        <v>12</v>
      </c>
      <c r="E12" s="70">
        <v>1</v>
      </c>
      <c r="F12" s="234">
        <f t="shared" si="0"/>
        <v>32208</v>
      </c>
      <c r="G12" s="62"/>
    </row>
    <row r="13" spans="1:7" ht="12.75">
      <c r="A13" s="72" t="s">
        <v>343</v>
      </c>
      <c r="B13" s="70">
        <v>1500</v>
      </c>
      <c r="C13" s="70">
        <v>1</v>
      </c>
      <c r="D13" s="70">
        <v>12</v>
      </c>
      <c r="E13" s="70">
        <v>1</v>
      </c>
      <c r="F13" s="234">
        <f t="shared" si="0"/>
        <v>18000</v>
      </c>
      <c r="G13" s="62"/>
    </row>
    <row r="14" spans="1:7" ht="12.75" hidden="1">
      <c r="A14" s="72" t="s">
        <v>198</v>
      </c>
      <c r="B14" s="70"/>
      <c r="C14" s="70">
        <v>1</v>
      </c>
      <c r="D14" s="70">
        <v>1</v>
      </c>
      <c r="E14" s="70">
        <v>1</v>
      </c>
      <c r="F14" s="69">
        <f t="shared" si="0"/>
        <v>0</v>
      </c>
      <c r="G14" s="62"/>
    </row>
    <row r="15" spans="1:7" ht="24" hidden="1">
      <c r="A15" s="72" t="s">
        <v>197</v>
      </c>
      <c r="B15" s="70"/>
      <c r="C15" s="70">
        <v>1</v>
      </c>
      <c r="D15" s="70">
        <v>1</v>
      </c>
      <c r="E15" s="70">
        <v>1</v>
      </c>
      <c r="F15" s="69">
        <f t="shared" si="0"/>
        <v>0</v>
      </c>
      <c r="G15" s="62"/>
    </row>
    <row r="16" spans="1:7" ht="12.75">
      <c r="A16" s="72" t="s">
        <v>196</v>
      </c>
      <c r="B16" s="70">
        <v>1068.72</v>
      </c>
      <c r="C16" s="70">
        <v>1</v>
      </c>
      <c r="D16" s="70">
        <v>12</v>
      </c>
      <c r="E16" s="70">
        <v>1</v>
      </c>
      <c r="F16" s="234">
        <f>ROUND(B16*C16*D16*E16,2)</f>
        <v>12824.64</v>
      </c>
      <c r="G16" s="62"/>
    </row>
    <row r="17" spans="1:7" ht="24" hidden="1">
      <c r="A17" s="72" t="s">
        <v>365</v>
      </c>
      <c r="B17" s="70">
        <v>3902.6</v>
      </c>
      <c r="C17" s="70">
        <v>1</v>
      </c>
      <c r="D17" s="70">
        <v>1</v>
      </c>
      <c r="E17" s="70">
        <v>1</v>
      </c>
      <c r="F17" s="69"/>
      <c r="G17" s="62"/>
    </row>
    <row r="18" spans="1:7" ht="12.75">
      <c r="A18" s="72" t="s">
        <v>194</v>
      </c>
      <c r="B18" s="70">
        <v>303.08</v>
      </c>
      <c r="C18" s="70">
        <v>1</v>
      </c>
      <c r="D18" s="70">
        <v>1</v>
      </c>
      <c r="E18" s="70">
        <v>1</v>
      </c>
      <c r="F18" s="234">
        <f t="shared" si="0"/>
        <v>303.08</v>
      </c>
      <c r="G18" s="62"/>
    </row>
    <row r="19" spans="1:7" ht="12.75">
      <c r="A19" s="72" t="s">
        <v>393</v>
      </c>
      <c r="B19" s="70">
        <v>2500</v>
      </c>
      <c r="C19" s="70">
        <v>1</v>
      </c>
      <c r="D19" s="70">
        <v>1</v>
      </c>
      <c r="E19" s="70">
        <v>1</v>
      </c>
      <c r="F19" s="234">
        <f t="shared" si="0"/>
        <v>2500</v>
      </c>
      <c r="G19" s="62"/>
    </row>
    <row r="20" spans="1:7" ht="12.75">
      <c r="A20" s="72"/>
      <c r="B20" s="70">
        <v>0</v>
      </c>
      <c r="C20" s="70">
        <v>1</v>
      </c>
      <c r="D20" s="70">
        <v>1</v>
      </c>
      <c r="E20" s="70">
        <v>1</v>
      </c>
      <c r="F20" s="69">
        <f aca="true" t="shared" si="1" ref="F20:F25">ROUND(B20*C20*D20*E20,2)</f>
        <v>0</v>
      </c>
      <c r="G20" s="62"/>
    </row>
    <row r="21" spans="1:7" ht="24" hidden="1">
      <c r="A21" s="72" t="s">
        <v>192</v>
      </c>
      <c r="B21" s="70"/>
      <c r="C21" s="70">
        <v>1</v>
      </c>
      <c r="D21" s="70">
        <v>1</v>
      </c>
      <c r="E21" s="70">
        <v>1</v>
      </c>
      <c r="F21" s="69">
        <f t="shared" si="1"/>
        <v>0</v>
      </c>
      <c r="G21" s="62"/>
    </row>
    <row r="22" spans="1:7" ht="19.5" customHeight="1">
      <c r="A22" s="86" t="s">
        <v>191</v>
      </c>
      <c r="B22" s="70">
        <v>1100</v>
      </c>
      <c r="C22" s="70">
        <v>1</v>
      </c>
      <c r="D22" s="70">
        <v>12</v>
      </c>
      <c r="E22" s="70">
        <v>1</v>
      </c>
      <c r="F22" s="234">
        <f t="shared" si="1"/>
        <v>13200</v>
      </c>
      <c r="G22" s="62"/>
    </row>
    <row r="23" spans="1:7" ht="19.5" customHeight="1">
      <c r="A23" s="86" t="s">
        <v>342</v>
      </c>
      <c r="B23" s="70">
        <v>0</v>
      </c>
      <c r="C23" s="70">
        <v>1</v>
      </c>
      <c r="D23" s="70">
        <v>1</v>
      </c>
      <c r="E23" s="70">
        <v>1</v>
      </c>
      <c r="F23" s="234">
        <f t="shared" si="1"/>
        <v>0</v>
      </c>
      <c r="G23" s="62"/>
    </row>
    <row r="24" spans="1:7" ht="12.75" hidden="1">
      <c r="A24" s="72" t="s">
        <v>189</v>
      </c>
      <c r="B24" s="70"/>
      <c r="C24" s="70">
        <v>1</v>
      </c>
      <c r="D24" s="70">
        <v>1</v>
      </c>
      <c r="E24" s="70">
        <v>1</v>
      </c>
      <c r="F24" s="69">
        <f t="shared" si="1"/>
        <v>0</v>
      </c>
      <c r="G24" s="62"/>
    </row>
    <row r="25" spans="1:7" ht="24.75" thickBot="1">
      <c r="A25" s="81" t="s">
        <v>188</v>
      </c>
      <c r="B25" s="67">
        <v>1605.26</v>
      </c>
      <c r="C25" s="67">
        <v>1</v>
      </c>
      <c r="D25" s="67">
        <v>12</v>
      </c>
      <c r="E25" s="67">
        <v>1</v>
      </c>
      <c r="F25" s="235">
        <f t="shared" si="1"/>
        <v>19263.12</v>
      </c>
      <c r="G25" s="62"/>
    </row>
    <row r="26" spans="1:7" ht="12.75" hidden="1">
      <c r="A26" s="85"/>
      <c r="B26" s="84"/>
      <c r="C26" s="84"/>
      <c r="D26" s="84"/>
      <c r="E26" s="84"/>
      <c r="F26" s="84">
        <f>F6+F7+F8+F9+F10+F11+F12+F13+F15+F17+F18+F20+F22+F25</f>
        <v>193663.99999999997</v>
      </c>
      <c r="G26" s="62"/>
    </row>
    <row r="27" spans="1:7" ht="12.75" hidden="1">
      <c r="A27" s="85"/>
      <c r="B27" s="84"/>
      <c r="C27" s="84"/>
      <c r="D27" s="84"/>
      <c r="E27" s="84"/>
      <c r="F27" s="84"/>
      <c r="G27" s="62"/>
    </row>
    <row r="28" spans="1:7" ht="12.75" hidden="1">
      <c r="A28" s="80"/>
      <c r="B28" s="62"/>
      <c r="C28" s="62"/>
      <c r="D28" s="62"/>
      <c r="E28" s="62"/>
      <c r="F28" s="62"/>
      <c r="G28" s="62"/>
    </row>
    <row r="29" spans="1:7" ht="15.75" customHeight="1">
      <c r="A29" s="442" t="s">
        <v>187</v>
      </c>
      <c r="B29" s="442"/>
      <c r="C29" s="442"/>
      <c r="D29" s="442"/>
      <c r="E29" s="442"/>
      <c r="F29" s="442"/>
      <c r="G29" s="62"/>
    </row>
    <row r="30" spans="1:7" ht="13.5" thickBot="1">
      <c r="A30" s="80"/>
      <c r="B30" s="62"/>
      <c r="C30" s="62"/>
      <c r="D30" s="62"/>
      <c r="E30" s="62"/>
      <c r="F30" s="62"/>
      <c r="G30" s="62"/>
    </row>
    <row r="31" spans="1:7" ht="24">
      <c r="A31" s="79"/>
      <c r="B31" s="78" t="s">
        <v>181</v>
      </c>
      <c r="C31" s="78" t="s">
        <v>180</v>
      </c>
      <c r="D31" s="78" t="s">
        <v>125</v>
      </c>
      <c r="E31" s="78" t="s">
        <v>124</v>
      </c>
      <c r="F31" s="77" t="s">
        <v>179</v>
      </c>
      <c r="G31" s="62"/>
    </row>
    <row r="32" spans="1:7" ht="24" customHeight="1" hidden="1">
      <c r="A32" s="72" t="s">
        <v>186</v>
      </c>
      <c r="B32" s="83"/>
      <c r="C32" s="83">
        <v>1</v>
      </c>
      <c r="D32" s="83">
        <v>12</v>
      </c>
      <c r="E32" s="83">
        <v>1</v>
      </c>
      <c r="F32" s="82">
        <f>ROUND(B32*C32*D32*E32,0)</f>
        <v>0</v>
      </c>
      <c r="G32" s="62"/>
    </row>
    <row r="33" spans="1:7" ht="24">
      <c r="A33" s="72" t="s">
        <v>186</v>
      </c>
      <c r="B33" s="70">
        <v>247.8</v>
      </c>
      <c r="C33" s="70">
        <v>1</v>
      </c>
      <c r="D33" s="70">
        <v>12</v>
      </c>
      <c r="E33" s="70">
        <v>1</v>
      </c>
      <c r="F33" s="82">
        <f>ROUND(B33*C33*D33*E33,0)</f>
        <v>2974</v>
      </c>
      <c r="G33" s="62"/>
    </row>
    <row r="34" spans="1:7" ht="12.75" hidden="1">
      <c r="A34" s="72" t="s">
        <v>185</v>
      </c>
      <c r="B34" s="70"/>
      <c r="C34" s="70"/>
      <c r="D34" s="70">
        <v>1</v>
      </c>
      <c r="E34" s="70">
        <v>1</v>
      </c>
      <c r="F34" s="69">
        <f>ROUND(B34*C34*D34*E34,2)</f>
        <v>0</v>
      </c>
      <c r="G34" s="62"/>
    </row>
    <row r="35" spans="1:7" ht="12.75">
      <c r="A35" s="72" t="s">
        <v>185</v>
      </c>
      <c r="B35" s="70">
        <v>0.52</v>
      </c>
      <c r="C35" s="70">
        <v>560</v>
      </c>
      <c r="D35" s="70">
        <v>12</v>
      </c>
      <c r="E35" s="70">
        <v>1</v>
      </c>
      <c r="F35" s="69">
        <f>ROUND(B35*C35*D35*E35,0)</f>
        <v>3494</v>
      </c>
      <c r="G35" s="62"/>
    </row>
    <row r="36" spans="1:7" ht="12.75">
      <c r="A36" s="72" t="s">
        <v>184</v>
      </c>
      <c r="B36" s="70">
        <v>713.9</v>
      </c>
      <c r="C36" s="70">
        <v>1</v>
      </c>
      <c r="D36" s="70">
        <v>12</v>
      </c>
      <c r="E36" s="70">
        <v>1</v>
      </c>
      <c r="F36" s="69">
        <f>ROUND(B36*C36*E36*D36,0)</f>
        <v>8567</v>
      </c>
      <c r="G36" s="62"/>
    </row>
    <row r="37" spans="1:7" ht="12.75">
      <c r="A37" s="72" t="s">
        <v>121</v>
      </c>
      <c r="B37" s="70"/>
      <c r="C37" s="70"/>
      <c r="D37" s="70"/>
      <c r="E37" s="70"/>
      <c r="F37" s="290">
        <f>F33+F35+F36+F32+F34</f>
        <v>15035</v>
      </c>
      <c r="G37" s="62"/>
    </row>
    <row r="38" spans="1:7" ht="27" customHeight="1" hidden="1" thickBot="1">
      <c r="A38" s="81" t="s">
        <v>183</v>
      </c>
      <c r="B38" s="67"/>
      <c r="C38" s="67"/>
      <c r="D38" s="67"/>
      <c r="E38" s="67"/>
      <c r="F38" s="66">
        <f>ROUND(B38*C38*D38*E38,2)</f>
        <v>0</v>
      </c>
      <c r="G38" s="62"/>
    </row>
    <row r="39" spans="1:7" ht="12.75" hidden="1">
      <c r="A39" s="80"/>
      <c r="B39" s="62"/>
      <c r="C39" s="62"/>
      <c r="D39" s="62"/>
      <c r="E39" s="62"/>
      <c r="F39" s="62"/>
      <c r="G39" s="62"/>
    </row>
    <row r="40" spans="1:7" ht="12.75" hidden="1">
      <c r="A40" s="62"/>
      <c r="B40" s="62"/>
      <c r="C40" s="62"/>
      <c r="D40" s="62"/>
      <c r="E40" s="62"/>
      <c r="F40" s="62"/>
      <c r="G40" s="62"/>
    </row>
    <row r="41" spans="1:7" ht="12.75">
      <c r="A41" s="443" t="s">
        <v>182</v>
      </c>
      <c r="B41" s="440"/>
      <c r="C41" s="440"/>
      <c r="D41" s="440"/>
      <c r="E41" s="440"/>
      <c r="F41" s="440"/>
      <c r="G41" s="62"/>
    </row>
    <row r="42" spans="1:7" ht="13.5" thickBot="1">
      <c r="A42" s="62"/>
      <c r="B42" s="62"/>
      <c r="C42" s="62"/>
      <c r="D42" s="62"/>
      <c r="E42" s="62"/>
      <c r="F42" s="62"/>
      <c r="G42" s="62"/>
    </row>
    <row r="43" spans="1:7" ht="24">
      <c r="A43" s="79"/>
      <c r="B43" s="78" t="s">
        <v>181</v>
      </c>
      <c r="C43" s="78" t="s">
        <v>180</v>
      </c>
      <c r="D43" s="78" t="s">
        <v>125</v>
      </c>
      <c r="E43" s="78" t="s">
        <v>124</v>
      </c>
      <c r="F43" s="77" t="s">
        <v>179</v>
      </c>
      <c r="G43" s="62"/>
    </row>
    <row r="44" spans="1:7" ht="12.75">
      <c r="A44" s="72" t="s">
        <v>178</v>
      </c>
      <c r="B44" s="70">
        <v>1625</v>
      </c>
      <c r="C44" s="70">
        <v>11</v>
      </c>
      <c r="D44" s="70">
        <v>1</v>
      </c>
      <c r="E44" s="70">
        <v>1</v>
      </c>
      <c r="F44" s="69">
        <f aca="true" t="shared" si="2" ref="F44:F52">ROUND(B44*C44*D44*E44,2)</f>
        <v>17875</v>
      </c>
      <c r="G44" s="62"/>
    </row>
    <row r="45" spans="1:7" ht="12.75">
      <c r="A45" s="72" t="s">
        <v>177</v>
      </c>
      <c r="B45" s="70">
        <v>12</v>
      </c>
      <c r="C45" s="70">
        <v>120</v>
      </c>
      <c r="D45" s="70">
        <v>1</v>
      </c>
      <c r="E45" s="70">
        <v>1</v>
      </c>
      <c r="F45" s="234">
        <f t="shared" si="2"/>
        <v>1440</v>
      </c>
      <c r="G45" s="62"/>
    </row>
    <row r="46" spans="1:7" ht="12.75">
      <c r="A46" s="75" t="s">
        <v>176</v>
      </c>
      <c r="B46" s="74">
        <v>1240</v>
      </c>
      <c r="C46" s="74">
        <v>36</v>
      </c>
      <c r="D46" s="74">
        <v>1</v>
      </c>
      <c r="E46" s="74">
        <v>1</v>
      </c>
      <c r="F46" s="234">
        <f t="shared" si="2"/>
        <v>44640</v>
      </c>
      <c r="G46" s="62"/>
    </row>
    <row r="47" spans="1:7" ht="12.75">
      <c r="A47" s="75" t="s">
        <v>394</v>
      </c>
      <c r="B47" s="74">
        <v>1565</v>
      </c>
      <c r="C47" s="74">
        <v>1</v>
      </c>
      <c r="D47" s="74">
        <v>1</v>
      </c>
      <c r="E47" s="74">
        <v>1</v>
      </c>
      <c r="F47" s="69">
        <f t="shared" si="2"/>
        <v>1565</v>
      </c>
      <c r="G47" s="62"/>
    </row>
    <row r="48" spans="1:7" ht="12.75">
      <c r="A48" s="75" t="s">
        <v>175</v>
      </c>
      <c r="B48" s="74">
        <v>1030</v>
      </c>
      <c r="C48" s="74">
        <v>9</v>
      </c>
      <c r="D48" s="74">
        <v>1</v>
      </c>
      <c r="E48" s="74">
        <v>1</v>
      </c>
      <c r="F48" s="234">
        <f t="shared" si="2"/>
        <v>9270</v>
      </c>
      <c r="G48" s="62"/>
    </row>
    <row r="49" spans="1:7" ht="12.75">
      <c r="A49" s="75" t="s">
        <v>344</v>
      </c>
      <c r="B49" s="74">
        <v>180</v>
      </c>
      <c r="C49" s="74">
        <v>52</v>
      </c>
      <c r="D49" s="74">
        <v>1</v>
      </c>
      <c r="E49" s="74">
        <v>1</v>
      </c>
      <c r="F49" s="234">
        <f t="shared" si="2"/>
        <v>9360</v>
      </c>
      <c r="G49" s="62"/>
    </row>
    <row r="50" spans="1:7" ht="12.75" hidden="1">
      <c r="A50" s="75" t="s">
        <v>174</v>
      </c>
      <c r="B50" s="74"/>
      <c r="C50" s="74">
        <v>1</v>
      </c>
      <c r="D50" s="74">
        <v>1</v>
      </c>
      <c r="E50" s="74">
        <v>1</v>
      </c>
      <c r="F50" s="69">
        <f t="shared" si="2"/>
        <v>0</v>
      </c>
      <c r="G50" s="62"/>
    </row>
    <row r="51" spans="1:7" ht="14.25" customHeight="1" hidden="1">
      <c r="A51" s="76" t="s">
        <v>173</v>
      </c>
      <c r="B51" s="74"/>
      <c r="C51" s="74"/>
      <c r="D51" s="74"/>
      <c r="E51" s="74">
        <v>1</v>
      </c>
      <c r="F51" s="69">
        <f t="shared" si="2"/>
        <v>0</v>
      </c>
      <c r="G51" s="62"/>
    </row>
    <row r="52" spans="1:7" ht="12.75" hidden="1">
      <c r="A52" s="75"/>
      <c r="B52" s="74"/>
      <c r="C52" s="74"/>
      <c r="D52" s="74">
        <v>1</v>
      </c>
      <c r="E52" s="74">
        <v>1</v>
      </c>
      <c r="F52" s="69">
        <f t="shared" si="2"/>
        <v>0</v>
      </c>
      <c r="G52" s="62"/>
    </row>
    <row r="53" spans="1:7" ht="12.75" hidden="1">
      <c r="A53" s="75"/>
      <c r="B53" s="74"/>
      <c r="C53" s="74"/>
      <c r="D53" s="74"/>
      <c r="E53" s="74"/>
      <c r="F53" s="73"/>
      <c r="G53" s="62"/>
    </row>
    <row r="54" spans="1:7" ht="12.75" hidden="1">
      <c r="A54" s="75"/>
      <c r="B54" s="74"/>
      <c r="C54" s="74"/>
      <c r="D54" s="74"/>
      <c r="E54" s="74"/>
      <c r="F54" s="73"/>
      <c r="G54" s="62"/>
    </row>
    <row r="55" spans="1:7" ht="12.75" hidden="1">
      <c r="A55" s="75"/>
      <c r="B55" s="74"/>
      <c r="C55" s="74"/>
      <c r="D55" s="74"/>
      <c r="E55" s="74"/>
      <c r="F55" s="73"/>
      <c r="G55" s="62"/>
    </row>
    <row r="56" spans="1:7" ht="12.75" hidden="1">
      <c r="A56" s="75"/>
      <c r="B56" s="74"/>
      <c r="C56" s="74"/>
      <c r="D56" s="74"/>
      <c r="E56" s="74"/>
      <c r="F56" s="73"/>
      <c r="G56" s="62"/>
    </row>
    <row r="57" spans="1:7" ht="12.75" hidden="1">
      <c r="A57" s="75"/>
      <c r="B57" s="74"/>
      <c r="C57" s="74"/>
      <c r="D57" s="74"/>
      <c r="E57" s="74"/>
      <c r="F57" s="73"/>
      <c r="G57" s="62"/>
    </row>
    <row r="58" spans="1:7" ht="12.75" hidden="1">
      <c r="A58" s="75"/>
      <c r="B58" s="74"/>
      <c r="C58" s="74"/>
      <c r="D58" s="74"/>
      <c r="E58" s="74"/>
      <c r="F58" s="73"/>
      <c r="G58" s="62"/>
    </row>
    <row r="59" spans="1:7" ht="12.75" hidden="1">
      <c r="A59" s="75"/>
      <c r="B59" s="74"/>
      <c r="C59" s="74"/>
      <c r="D59" s="74"/>
      <c r="E59" s="74"/>
      <c r="F59" s="73"/>
      <c r="G59" s="62"/>
    </row>
    <row r="60" spans="1:7" ht="12.75" hidden="1">
      <c r="A60" s="75"/>
      <c r="B60" s="74"/>
      <c r="C60" s="74"/>
      <c r="D60" s="74"/>
      <c r="E60" s="74"/>
      <c r="F60" s="73"/>
      <c r="G60" s="62"/>
    </row>
    <row r="61" spans="1:7" ht="12.75" hidden="1">
      <c r="A61" s="75"/>
      <c r="B61" s="74"/>
      <c r="C61" s="74"/>
      <c r="D61" s="74"/>
      <c r="E61" s="74"/>
      <c r="F61" s="73"/>
      <c r="G61" s="62"/>
    </row>
    <row r="62" spans="1:7" ht="12.75">
      <c r="A62" s="72" t="s">
        <v>121</v>
      </c>
      <c r="B62" s="70"/>
      <c r="C62" s="70"/>
      <c r="D62" s="70"/>
      <c r="E62" s="70"/>
      <c r="F62" s="69">
        <f>SUM(F44:F51)</f>
        <v>84150</v>
      </c>
      <c r="G62" s="62"/>
    </row>
    <row r="63" spans="1:7" ht="12.75">
      <c r="A63" s="72" t="s">
        <v>172</v>
      </c>
      <c r="B63" s="70">
        <v>13110</v>
      </c>
      <c r="C63" s="70">
        <v>1</v>
      </c>
      <c r="D63" s="70">
        <v>1</v>
      </c>
      <c r="E63" s="70">
        <v>1</v>
      </c>
      <c r="F63" s="234">
        <f>ROUND(B63*C63*D63*E63,0)</f>
        <v>13110</v>
      </c>
      <c r="G63" s="62"/>
    </row>
    <row r="64" spans="1:7" ht="12.75">
      <c r="A64" s="72" t="s">
        <v>345</v>
      </c>
      <c r="B64" s="70"/>
      <c r="C64" s="70"/>
      <c r="D64" s="70"/>
      <c r="E64" s="70"/>
      <c r="F64" s="234"/>
      <c r="G64" s="62"/>
    </row>
    <row r="65" spans="1:7" ht="12.75">
      <c r="A65" s="72" t="s">
        <v>171</v>
      </c>
      <c r="B65" s="70">
        <v>599.36</v>
      </c>
      <c r="C65" s="70">
        <v>1</v>
      </c>
      <c r="D65" s="70">
        <v>1</v>
      </c>
      <c r="E65" s="70">
        <v>1</v>
      </c>
      <c r="F65" s="234">
        <f>ROUND(B65*C65*D65*E65,2)</f>
        <v>599.36</v>
      </c>
      <c r="G65" s="62"/>
    </row>
    <row r="66" spans="1:7" ht="12.75" hidden="1">
      <c r="A66" s="72" t="s">
        <v>170</v>
      </c>
      <c r="B66" s="70"/>
      <c r="C66" s="70"/>
      <c r="D66" s="70">
        <v>1</v>
      </c>
      <c r="E66" s="70">
        <v>1</v>
      </c>
      <c r="F66" s="69">
        <f>ROUND(B66*C66*D66*E66,2)</f>
        <v>0</v>
      </c>
      <c r="G66" s="62"/>
    </row>
    <row r="67" spans="1:7" ht="12.75" hidden="1">
      <c r="A67" s="72" t="s">
        <v>169</v>
      </c>
      <c r="B67" s="70"/>
      <c r="C67" s="70"/>
      <c r="D67" s="70">
        <v>1</v>
      </c>
      <c r="E67" s="70">
        <v>1</v>
      </c>
      <c r="F67" s="69">
        <f>ROUND(B67*C67*D67*E67,2)</f>
        <v>0</v>
      </c>
      <c r="G67" s="62"/>
    </row>
    <row r="68" spans="1:7" ht="12.75">
      <c r="A68" s="72" t="s">
        <v>168</v>
      </c>
      <c r="B68" s="70">
        <v>0</v>
      </c>
      <c r="C68" s="70">
        <v>40</v>
      </c>
      <c r="D68" s="70">
        <v>1</v>
      </c>
      <c r="E68" s="70">
        <v>1</v>
      </c>
      <c r="F68" s="69">
        <f>ROUND(B68*C68*D68*E68,2)</f>
        <v>0</v>
      </c>
      <c r="G68" s="62"/>
    </row>
    <row r="69" spans="1:7" ht="12.75" hidden="1">
      <c r="A69" s="437" t="s">
        <v>167</v>
      </c>
      <c r="B69" s="438"/>
      <c r="C69" s="438"/>
      <c r="D69" s="438"/>
      <c r="E69" s="438"/>
      <c r="F69" s="439"/>
      <c r="G69" s="62"/>
    </row>
    <row r="70" spans="1:7" ht="12.75" hidden="1">
      <c r="A70" s="71"/>
      <c r="B70" s="70"/>
      <c r="C70" s="70"/>
      <c r="D70" s="70"/>
      <c r="E70" s="70"/>
      <c r="F70" s="69"/>
      <c r="G70" s="62"/>
    </row>
    <row r="71" spans="1:7" ht="12.75" hidden="1">
      <c r="A71" s="71"/>
      <c r="B71" s="70"/>
      <c r="C71" s="70"/>
      <c r="D71" s="70"/>
      <c r="E71" s="70"/>
      <c r="F71" s="69"/>
      <c r="G71" s="62"/>
    </row>
    <row r="72" spans="1:7" ht="12.75" hidden="1">
      <c r="A72" s="71"/>
      <c r="B72" s="70"/>
      <c r="C72" s="70" t="s">
        <v>130</v>
      </c>
      <c r="D72" s="70"/>
      <c r="E72" s="70"/>
      <c r="F72" s="69"/>
      <c r="G72" s="62"/>
    </row>
    <row r="73" spans="1:7" ht="12.75" hidden="1">
      <c r="A73" s="71"/>
      <c r="B73" s="70"/>
      <c r="C73" s="70"/>
      <c r="D73" s="70"/>
      <c r="E73" s="70"/>
      <c r="F73" s="69"/>
      <c r="G73" s="62"/>
    </row>
    <row r="74" spans="1:7" ht="12.75" hidden="1">
      <c r="A74" s="71"/>
      <c r="B74" s="70"/>
      <c r="C74" s="70"/>
      <c r="D74" s="70"/>
      <c r="E74" s="70"/>
      <c r="F74" s="69"/>
      <c r="G74" s="62"/>
    </row>
    <row r="75" spans="1:7" ht="12.75" hidden="1">
      <c r="A75" s="71" t="s">
        <v>166</v>
      </c>
      <c r="B75" s="70"/>
      <c r="C75" s="70">
        <v>1</v>
      </c>
      <c r="D75" s="70">
        <v>1</v>
      </c>
      <c r="E75" s="70">
        <v>1</v>
      </c>
      <c r="F75" s="69">
        <f>ROUND(B75*C75*D75*E75,2)</f>
        <v>0</v>
      </c>
      <c r="G75" s="62"/>
    </row>
    <row r="76" spans="1:7" ht="12.75" hidden="1">
      <c r="A76" s="72" t="s">
        <v>165</v>
      </c>
      <c r="B76" s="70"/>
      <c r="C76" s="70"/>
      <c r="D76" s="70"/>
      <c r="E76" s="70"/>
      <c r="F76" s="69"/>
      <c r="G76" s="62"/>
    </row>
    <row r="77" spans="1:7" ht="8.25" customHeight="1" hidden="1">
      <c r="A77" s="71"/>
      <c r="B77" s="70"/>
      <c r="C77" s="70"/>
      <c r="D77" s="70"/>
      <c r="E77" s="70"/>
      <c r="F77" s="69"/>
      <c r="G77" s="62"/>
    </row>
    <row r="78" spans="1:7" ht="10.5" customHeight="1" hidden="1">
      <c r="A78" s="71"/>
      <c r="B78" s="70"/>
      <c r="C78" s="70"/>
      <c r="D78" s="70"/>
      <c r="E78" s="70"/>
      <c r="F78" s="69"/>
      <c r="G78" s="62"/>
    </row>
    <row r="79" spans="1:7" ht="13.5" hidden="1" thickBot="1">
      <c r="A79" s="68" t="s">
        <v>121</v>
      </c>
      <c r="B79" s="67"/>
      <c r="C79" s="67"/>
      <c r="D79" s="67"/>
      <c r="E79" s="67"/>
      <c r="F79" s="66">
        <f>SUM(F70:F78)</f>
        <v>0</v>
      </c>
      <c r="G79" s="62"/>
    </row>
    <row r="80" spans="1:7" ht="12.75" hidden="1">
      <c r="A80" s="62"/>
      <c r="B80" s="62"/>
      <c r="C80" s="62"/>
      <c r="D80" s="62"/>
      <c r="E80" s="62"/>
      <c r="F80" s="62">
        <f>F16+F45+F46+F47+F48+F49+F50+F63+F64+F65+F66+F67+F68</f>
        <v>92809</v>
      </c>
      <c r="G80" s="62"/>
    </row>
    <row r="81" spans="1:7" ht="10.5" customHeight="1" hidden="1">
      <c r="A81" s="62"/>
      <c r="B81" s="62"/>
      <c r="C81" s="62"/>
      <c r="D81" s="62"/>
      <c r="E81" s="62"/>
      <c r="F81" s="62"/>
      <c r="G81" s="62"/>
    </row>
    <row r="82" spans="1:82" ht="31.5" customHeight="1">
      <c r="A82" s="96" t="str">
        <f>свод!A147</f>
        <v>Директор МБОУ "Кадетская школа № 46 г. Пензы"</v>
      </c>
      <c r="B82" s="64"/>
      <c r="C82" s="64"/>
      <c r="D82" s="64" t="str">
        <f>свод!I147</f>
        <v>Борисов В.А.</v>
      </c>
      <c r="E82" s="65"/>
      <c r="F82" s="64"/>
      <c r="G82" s="61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</row>
    <row r="83" spans="1:82" ht="12.75">
      <c r="A83" s="90"/>
      <c r="B83" s="62"/>
      <c r="C83" s="62"/>
      <c r="D83" s="62"/>
      <c r="E83" s="63"/>
      <c r="F83" s="62"/>
      <c r="G83" s="61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</row>
    <row r="84" spans="1:82" ht="12.75">
      <c r="A84" s="90"/>
      <c r="B84" s="62"/>
      <c r="C84" s="62"/>
      <c r="D84" s="62"/>
      <c r="E84" s="63"/>
      <c r="F84" s="62"/>
      <c r="G84" s="61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</row>
    <row r="85" spans="1:82" ht="12.75">
      <c r="A85" s="90" t="s">
        <v>327</v>
      </c>
      <c r="B85" s="62"/>
      <c r="C85" s="62"/>
      <c r="D85" s="62" t="str">
        <f>свод!I150</f>
        <v>Нелюбова Н.Е.</v>
      </c>
      <c r="E85" s="63"/>
      <c r="F85" s="62"/>
      <c r="G85" s="61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</row>
    <row r="86" spans="1:82" ht="12.75">
      <c r="A86" s="62"/>
      <c r="B86" s="62"/>
      <c r="C86" s="62"/>
      <c r="D86" s="62"/>
      <c r="E86" s="62"/>
      <c r="F86" s="62"/>
      <c r="G86" s="61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</row>
  </sheetData>
  <sheetProtection/>
  <mergeCells count="5">
    <mergeCell ref="A69:F69"/>
    <mergeCell ref="E1:F1"/>
    <mergeCell ref="A2:F2"/>
    <mergeCell ref="A29:F29"/>
    <mergeCell ref="A41:F41"/>
  </mergeCells>
  <printOptions/>
  <pageMargins left="0" right="0" top="0.29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3"/>
  <sheetViews>
    <sheetView zoomScalePageLayoutView="0" workbookViewId="0" topLeftCell="A1">
      <selection activeCell="D50" sqref="D50"/>
    </sheetView>
  </sheetViews>
  <sheetFormatPr defaultColWidth="9.140625" defaultRowHeight="15"/>
  <cols>
    <col min="1" max="1" width="23.421875" style="89" customWidth="1"/>
    <col min="2" max="2" width="16.8515625" style="89" customWidth="1"/>
    <col min="3" max="4" width="12.8515625" style="89" customWidth="1"/>
    <col min="5" max="5" width="13.00390625" style="89" customWidth="1"/>
    <col min="6" max="6" width="12.00390625" style="89" customWidth="1"/>
    <col min="7" max="16384" width="9.140625" style="89" customWidth="1"/>
  </cols>
  <sheetData>
    <row r="1" spans="5:6" ht="12.75">
      <c r="E1" s="446" t="s">
        <v>220</v>
      </c>
      <c r="F1" s="446"/>
    </row>
    <row r="2" spans="1:6" ht="18.75">
      <c r="A2" s="447" t="s">
        <v>219</v>
      </c>
      <c r="B2" s="447"/>
      <c r="C2" s="447"/>
      <c r="D2" s="447"/>
      <c r="E2" s="447"/>
      <c r="F2" s="447"/>
    </row>
    <row r="3" spans="1:6" s="112" customFormat="1" ht="12.75">
      <c r="A3" s="111"/>
      <c r="B3" s="111"/>
      <c r="C3" s="111"/>
      <c r="D3" s="111"/>
      <c r="E3" s="111"/>
      <c r="F3" s="111"/>
    </row>
    <row r="4" spans="1:6" ht="13.5" thickBot="1">
      <c r="A4" s="111"/>
      <c r="B4" s="111"/>
      <c r="C4" s="111"/>
      <c r="D4" s="111"/>
      <c r="E4" s="111"/>
      <c r="F4" s="111"/>
    </row>
    <row r="5" spans="1:6" s="108" customFormat="1" ht="25.5">
      <c r="A5" s="103"/>
      <c r="B5" s="102" t="s">
        <v>181</v>
      </c>
      <c r="C5" s="102" t="s">
        <v>180</v>
      </c>
      <c r="D5" s="102" t="s">
        <v>125</v>
      </c>
      <c r="E5" s="31" t="s">
        <v>124</v>
      </c>
      <c r="F5" s="101" t="s">
        <v>179</v>
      </c>
    </row>
    <row r="6" spans="1:6" ht="12.75">
      <c r="A6" s="105" t="s">
        <v>218</v>
      </c>
      <c r="B6" s="100"/>
      <c r="C6" s="100"/>
      <c r="D6" s="100"/>
      <c r="E6" s="100"/>
      <c r="F6" s="99">
        <f>ROUND(B6*C6*D6*E6,2)</f>
        <v>0</v>
      </c>
    </row>
    <row r="7" spans="1:6" ht="12.75">
      <c r="A7" s="105" t="s">
        <v>217</v>
      </c>
      <c r="B7" s="100"/>
      <c r="C7" s="100"/>
      <c r="D7" s="100"/>
      <c r="E7" s="100"/>
      <c r="F7" s="99"/>
    </row>
    <row r="8" spans="1:6" ht="12.75" hidden="1">
      <c r="A8" s="27" t="s">
        <v>200</v>
      </c>
      <c r="B8" s="100"/>
      <c r="C8" s="100">
        <v>1</v>
      </c>
      <c r="D8" s="100">
        <v>1</v>
      </c>
      <c r="E8" s="100">
        <v>1.065</v>
      </c>
      <c r="F8" s="99">
        <f>ROUND(B8*C8*D8*E8,2)</f>
        <v>0</v>
      </c>
    </row>
    <row r="9" spans="1:6" ht="25.5" hidden="1">
      <c r="A9" s="27" t="s">
        <v>216</v>
      </c>
      <c r="B9" s="100"/>
      <c r="C9" s="100"/>
      <c r="D9" s="100">
        <v>12</v>
      </c>
      <c r="E9" s="100">
        <v>1</v>
      </c>
      <c r="F9" s="99">
        <f>ROUND(B9*C9*D9*E9,2)</f>
        <v>0</v>
      </c>
    </row>
    <row r="10" spans="1:6" ht="12.75" hidden="1">
      <c r="A10" s="110" t="s">
        <v>215</v>
      </c>
      <c r="B10" s="100"/>
      <c r="C10" s="100"/>
      <c r="D10" s="100"/>
      <c r="E10" s="100"/>
      <c r="F10" s="99">
        <f>SUM(F6:F9)</f>
        <v>0</v>
      </c>
    </row>
    <row r="11" spans="1:6" ht="12.75" hidden="1">
      <c r="A11" s="110" t="s">
        <v>196</v>
      </c>
      <c r="B11" s="100"/>
      <c r="C11" s="100">
        <v>1</v>
      </c>
      <c r="D11" s="100">
        <v>12</v>
      </c>
      <c r="E11" s="100">
        <v>1.065</v>
      </c>
      <c r="F11" s="99">
        <f>ROUND(B11*C11*D11*E11,2)</f>
        <v>0</v>
      </c>
    </row>
    <row r="12" spans="1:6" ht="38.25" hidden="1">
      <c r="A12" s="110" t="s">
        <v>192</v>
      </c>
      <c r="B12" s="100"/>
      <c r="C12" s="100">
        <v>1</v>
      </c>
      <c r="D12" s="100">
        <v>1</v>
      </c>
      <c r="E12" s="100">
        <v>1</v>
      </c>
      <c r="F12" s="99">
        <f>ROUND(B12*C12*D12*E12,2)</f>
        <v>0</v>
      </c>
    </row>
    <row r="13" spans="1:6" ht="12.75" hidden="1">
      <c r="A13" s="110"/>
      <c r="B13" s="100"/>
      <c r="C13" s="100"/>
      <c r="D13" s="100"/>
      <c r="E13" s="100"/>
      <c r="F13" s="99"/>
    </row>
    <row r="14" spans="1:6" ht="12.75" hidden="1">
      <c r="A14" s="110"/>
      <c r="B14" s="100"/>
      <c r="C14" s="100"/>
      <c r="D14" s="100"/>
      <c r="E14" s="100"/>
      <c r="F14" s="99"/>
    </row>
    <row r="15" spans="1:6" ht="12.75" hidden="1">
      <c r="A15" s="110"/>
      <c r="B15" s="100"/>
      <c r="C15" s="100"/>
      <c r="D15" s="100"/>
      <c r="E15" s="100"/>
      <c r="F15" s="99"/>
    </row>
    <row r="16" spans="1:6" ht="12.75" hidden="1">
      <c r="A16" s="110"/>
      <c r="B16" s="100"/>
      <c r="C16" s="100"/>
      <c r="D16" s="100"/>
      <c r="E16" s="100"/>
      <c r="F16" s="99"/>
    </row>
    <row r="17" spans="1:6" ht="12.75" hidden="1">
      <c r="A17" s="110"/>
      <c r="B17" s="100"/>
      <c r="C17" s="100"/>
      <c r="D17" s="100"/>
      <c r="E17" s="100"/>
      <c r="F17" s="99"/>
    </row>
    <row r="18" spans="1:6" ht="12.75" hidden="1">
      <c r="A18" s="110"/>
      <c r="B18" s="100"/>
      <c r="C18" s="100"/>
      <c r="D18" s="100"/>
      <c r="E18" s="100"/>
      <c r="F18" s="99"/>
    </row>
    <row r="19" spans="1:6" ht="12.75" hidden="1">
      <c r="A19" s="110"/>
      <c r="B19" s="100"/>
      <c r="C19" s="100"/>
      <c r="D19" s="100"/>
      <c r="E19" s="100"/>
      <c r="F19" s="99"/>
    </row>
    <row r="20" spans="1:6" ht="12.75" hidden="1">
      <c r="A20" s="110"/>
      <c r="B20" s="100"/>
      <c r="C20" s="100"/>
      <c r="D20" s="100"/>
      <c r="E20" s="100"/>
      <c r="F20" s="99"/>
    </row>
    <row r="21" spans="1:6" ht="12.75" hidden="1">
      <c r="A21" s="110"/>
      <c r="B21" s="100"/>
      <c r="C21" s="100"/>
      <c r="D21" s="100"/>
      <c r="E21" s="100"/>
      <c r="F21" s="99"/>
    </row>
    <row r="22" spans="1:6" ht="13.5" thickBot="1">
      <c r="A22" s="109"/>
      <c r="B22" s="98"/>
      <c r="C22" s="98"/>
      <c r="D22" s="98"/>
      <c r="E22" s="98"/>
      <c r="F22" s="97"/>
    </row>
    <row r="23" spans="1:6" ht="32.25" customHeight="1">
      <c r="A23" s="447" t="s">
        <v>214</v>
      </c>
      <c r="B23" s="401"/>
      <c r="C23" s="401"/>
      <c r="D23" s="401"/>
      <c r="E23" s="401"/>
      <c r="F23" s="401"/>
    </row>
    <row r="24" ht="13.5" thickBot="1">
      <c r="A24" s="108"/>
    </row>
    <row r="25" spans="1:6" ht="25.5">
      <c r="A25" s="103"/>
      <c r="B25" s="102" t="s">
        <v>181</v>
      </c>
      <c r="C25" s="102" t="s">
        <v>180</v>
      </c>
      <c r="D25" s="102" t="s">
        <v>125</v>
      </c>
      <c r="E25" s="31" t="s">
        <v>124</v>
      </c>
      <c r="F25" s="101" t="s">
        <v>179</v>
      </c>
    </row>
    <row r="26" spans="1:6" ht="12.75">
      <c r="A26" s="105" t="s">
        <v>213</v>
      </c>
      <c r="B26" s="100"/>
      <c r="C26" s="100"/>
      <c r="D26" s="100"/>
      <c r="E26" s="100"/>
      <c r="F26" s="99">
        <f>ROUND(B26*C26*D26*E26,2)</f>
        <v>0</v>
      </c>
    </row>
    <row r="27" spans="1:6" ht="12.75">
      <c r="A27" s="105" t="s">
        <v>212</v>
      </c>
      <c r="B27" s="100"/>
      <c r="C27" s="100">
        <v>1</v>
      </c>
      <c r="D27" s="100">
        <v>1</v>
      </c>
      <c r="E27" s="100">
        <v>1</v>
      </c>
      <c r="F27" s="99">
        <f>ROUND(B27*C27*D27*E27,2)</f>
        <v>0</v>
      </c>
    </row>
    <row r="28" spans="1:6" ht="12.75">
      <c r="A28" s="105" t="s">
        <v>211</v>
      </c>
      <c r="B28" s="100"/>
      <c r="C28" s="100"/>
      <c r="D28" s="100"/>
      <c r="E28" s="100"/>
      <c r="F28" s="99">
        <f>ROUND(B28*C28*D28*E28,2)</f>
        <v>0</v>
      </c>
    </row>
    <row r="29" spans="1:6" ht="13.5" thickBot="1">
      <c r="A29" s="24" t="s">
        <v>121</v>
      </c>
      <c r="B29" s="98"/>
      <c r="C29" s="98"/>
      <c r="D29" s="98"/>
      <c r="E29" s="98"/>
      <c r="F29" s="97">
        <f>F26+F27+F28</f>
        <v>0</v>
      </c>
    </row>
    <row r="30" ht="12.75">
      <c r="A30" s="108"/>
    </row>
    <row r="31" ht="12.75">
      <c r="A31" s="108"/>
    </row>
    <row r="32" spans="1:6" ht="37.5" customHeight="1">
      <c r="A32" s="448" t="s">
        <v>210</v>
      </c>
      <c r="B32" s="449"/>
      <c r="C32" s="449"/>
      <c r="D32" s="449"/>
      <c r="E32" s="449"/>
      <c r="F32" s="450"/>
    </row>
    <row r="33" ht="12.75">
      <c r="A33" s="107"/>
    </row>
    <row r="34" ht="13.5" thickBot="1">
      <c r="A34" s="107"/>
    </row>
    <row r="35" spans="1:6" ht="51">
      <c r="A35" s="106"/>
      <c r="B35" s="102" t="s">
        <v>209</v>
      </c>
      <c r="C35" s="102" t="s">
        <v>208</v>
      </c>
      <c r="D35" s="102"/>
      <c r="E35" s="102"/>
      <c r="F35" s="101" t="s">
        <v>207</v>
      </c>
    </row>
    <row r="36" spans="1:6" ht="12.75">
      <c r="A36" s="105" t="s">
        <v>206</v>
      </c>
      <c r="B36" s="100"/>
      <c r="C36" s="100">
        <v>1</v>
      </c>
      <c r="D36" s="100"/>
      <c r="E36" s="100"/>
      <c r="F36" s="99">
        <f>ROUND(B36*C36,2)</f>
        <v>0</v>
      </c>
    </row>
    <row r="37" spans="1:6" ht="13.5" thickBot="1">
      <c r="A37" s="38"/>
      <c r="B37" s="98"/>
      <c r="C37" s="98"/>
      <c r="D37" s="98"/>
      <c r="E37" s="98"/>
      <c r="F37" s="97">
        <f>ROUND(B37*C37*D37*E37,2)</f>
        <v>0</v>
      </c>
    </row>
    <row r="40" spans="1:6" ht="18.75">
      <c r="A40" s="444" t="s">
        <v>205</v>
      </c>
      <c r="B40" s="445"/>
      <c r="C40" s="445"/>
      <c r="D40" s="445"/>
      <c r="E40" s="445"/>
      <c r="F40" s="445"/>
    </row>
    <row r="41" ht="13.5" thickBot="1"/>
    <row r="42" spans="1:6" ht="25.5">
      <c r="A42" s="103"/>
      <c r="B42" s="102" t="s">
        <v>181</v>
      </c>
      <c r="C42" s="102" t="s">
        <v>180</v>
      </c>
      <c r="D42" s="102" t="s">
        <v>125</v>
      </c>
      <c r="E42" s="31" t="s">
        <v>124</v>
      </c>
      <c r="F42" s="101" t="s">
        <v>179</v>
      </c>
    </row>
    <row r="43" spans="1:6" ht="12.75">
      <c r="A43" s="27"/>
      <c r="B43" s="100"/>
      <c r="C43" s="100"/>
      <c r="D43" s="100"/>
      <c r="E43" s="100"/>
      <c r="F43" s="99">
        <f>ROUND(B43*C43*D43*E43,2)</f>
        <v>0</v>
      </c>
    </row>
    <row r="44" spans="1:6" ht="12.75">
      <c r="A44" s="27"/>
      <c r="B44" s="100"/>
      <c r="C44" s="100"/>
      <c r="D44" s="100"/>
      <c r="E44" s="100"/>
      <c r="F44" s="99">
        <f>ROUND(B44*C44*D44*E44,2)</f>
        <v>0</v>
      </c>
    </row>
    <row r="45" spans="1:6" ht="13.5" thickBot="1">
      <c r="A45" s="24"/>
      <c r="B45" s="98"/>
      <c r="C45" s="98"/>
      <c r="D45" s="98"/>
      <c r="E45" s="98"/>
      <c r="F45" s="97">
        <f>ROUND(B45*C45*D45*E45,2)</f>
        <v>0</v>
      </c>
    </row>
    <row r="49" spans="1:82" s="90" customFormat="1" ht="12.75">
      <c r="A49" s="96" t="s">
        <v>326</v>
      </c>
      <c r="B49" s="96"/>
      <c r="C49" s="96"/>
      <c r="D49" s="96" t="str">
        <f>свод!I147</f>
        <v>Борисов В.А.</v>
      </c>
      <c r="E49" s="95"/>
      <c r="F49" s="94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</row>
    <row r="50" spans="5:82" s="90" customFormat="1" ht="12.75">
      <c r="E50" s="93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</row>
    <row r="51" spans="5:82" s="90" customFormat="1" ht="12.75">
      <c r="E51" s="9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</row>
    <row r="52" spans="1:82" s="90" customFormat="1" ht="12.75">
      <c r="A52" s="90" t="s">
        <v>327</v>
      </c>
      <c r="C52" s="90" t="str">
        <f>свод!I150</f>
        <v>Нелюбова Н.Е.</v>
      </c>
      <c r="E52" s="92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</row>
    <row r="53" spans="7:82" s="90" customFormat="1" ht="12.75"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</row>
  </sheetData>
  <sheetProtection/>
  <mergeCells count="5">
    <mergeCell ref="A40:F40"/>
    <mergeCell ref="E1:F1"/>
    <mergeCell ref="A2:F2"/>
    <mergeCell ref="A23:F23"/>
    <mergeCell ref="A32:F3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2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20.28125" style="80" customWidth="1"/>
    <col min="2" max="2" width="8.57421875" style="80" customWidth="1"/>
    <col min="3" max="4" width="10.8515625" style="15" customWidth="1"/>
    <col min="5" max="5" width="8.57421875" style="15" customWidth="1"/>
    <col min="6" max="6" width="13.8515625" style="15" customWidth="1"/>
    <col min="7" max="7" width="13.7109375" style="15" customWidth="1"/>
    <col min="8" max="8" width="12.7109375" style="15" customWidth="1"/>
    <col min="9" max="16384" width="9.140625" style="15" customWidth="1"/>
  </cols>
  <sheetData>
    <row r="1" spans="6:7" ht="12.75">
      <c r="F1" s="304"/>
      <c r="G1" s="304"/>
    </row>
    <row r="2" spans="1:7" ht="15.75">
      <c r="A2" s="451" t="s">
        <v>233</v>
      </c>
      <c r="B2" s="451"/>
      <c r="C2" s="451"/>
      <c r="D2" s="451"/>
      <c r="E2" s="451"/>
      <c r="F2" s="451"/>
      <c r="G2" s="305"/>
    </row>
    <row r="4" ht="13.5" thickBot="1"/>
    <row r="5" spans="1:8" s="16" customFormat="1" ht="74.25" customHeight="1">
      <c r="A5" s="79"/>
      <c r="B5" s="306" t="s">
        <v>232</v>
      </c>
      <c r="C5" s="31" t="s">
        <v>208</v>
      </c>
      <c r="D5" s="31" t="s">
        <v>231</v>
      </c>
      <c r="E5" s="31" t="s">
        <v>124</v>
      </c>
      <c r="F5" s="30" t="s">
        <v>382</v>
      </c>
      <c r="G5" s="307" t="s">
        <v>383</v>
      </c>
      <c r="H5" s="30" t="s">
        <v>230</v>
      </c>
    </row>
    <row r="6" spans="1:8" ht="25.5">
      <c r="A6" s="27" t="s">
        <v>229</v>
      </c>
      <c r="B6" s="117" t="s">
        <v>221</v>
      </c>
      <c r="C6" s="308">
        <v>892</v>
      </c>
      <c r="D6" s="308">
        <v>21.17</v>
      </c>
      <c r="E6" s="308">
        <v>1</v>
      </c>
      <c r="F6" s="202">
        <f>ROUND(C6*D6*E6,2)</f>
        <v>18883.64</v>
      </c>
      <c r="G6" s="202">
        <v>1</v>
      </c>
      <c r="H6" s="202">
        <f>ROUND(F6*G6,2)</f>
        <v>18883.64</v>
      </c>
    </row>
    <row r="7" spans="1:8" ht="25.5">
      <c r="A7" s="27" t="s">
        <v>229</v>
      </c>
      <c r="B7" s="117" t="s">
        <v>221</v>
      </c>
      <c r="C7" s="308">
        <v>351</v>
      </c>
      <c r="D7" s="308">
        <v>23.71</v>
      </c>
      <c r="E7" s="308">
        <v>1</v>
      </c>
      <c r="F7" s="202">
        <f>ROUND(C7*D7*E7,2)</f>
        <v>8322.21</v>
      </c>
      <c r="G7" s="202">
        <v>1</v>
      </c>
      <c r="H7" s="202">
        <f aca="true" t="shared" si="0" ref="H7:H14">ROUND(F7*G7,2)</f>
        <v>8322.21</v>
      </c>
    </row>
    <row r="8" spans="1:8" ht="12.75">
      <c r="A8" s="27" t="s">
        <v>228</v>
      </c>
      <c r="B8" s="117" t="s">
        <v>221</v>
      </c>
      <c r="C8" s="308">
        <v>1195</v>
      </c>
      <c r="D8" s="308">
        <v>14.04</v>
      </c>
      <c r="E8" s="308">
        <v>1</v>
      </c>
      <c r="F8" s="202">
        <f>ROUND(C8*D8*E8,2)</f>
        <v>16777.8</v>
      </c>
      <c r="G8" s="202">
        <v>1</v>
      </c>
      <c r="H8" s="202">
        <f t="shared" si="0"/>
        <v>16777.8</v>
      </c>
    </row>
    <row r="9" spans="1:8" ht="12.75">
      <c r="A9" s="27" t="s">
        <v>228</v>
      </c>
      <c r="B9" s="117" t="s">
        <v>221</v>
      </c>
      <c r="C9" s="308">
        <v>629</v>
      </c>
      <c r="D9" s="308">
        <v>15.26</v>
      </c>
      <c r="E9" s="308">
        <v>1</v>
      </c>
      <c r="F9" s="202">
        <f>ROUND(C9*D9*E9,2)</f>
        <v>9598.54</v>
      </c>
      <c r="G9" s="202">
        <v>1</v>
      </c>
      <c r="H9" s="202">
        <f t="shared" si="0"/>
        <v>9598.54</v>
      </c>
    </row>
    <row r="10" spans="1:8" ht="12.75">
      <c r="A10" s="40" t="s">
        <v>227</v>
      </c>
      <c r="B10" s="116" t="s">
        <v>221</v>
      </c>
      <c r="C10" s="308">
        <v>626.61</v>
      </c>
      <c r="D10" s="308">
        <v>21.17</v>
      </c>
      <c r="E10" s="308">
        <v>1</v>
      </c>
      <c r="F10" s="202">
        <f>ROUND(C10*D10*E10,2)</f>
        <v>13265.33</v>
      </c>
      <c r="G10" s="202">
        <v>1</v>
      </c>
      <c r="H10" s="202">
        <f t="shared" si="0"/>
        <v>13265.33</v>
      </c>
    </row>
    <row r="11" spans="1:8" ht="12.75">
      <c r="A11" s="40" t="s">
        <v>227</v>
      </c>
      <c r="B11" s="116" t="s">
        <v>225</v>
      </c>
      <c r="C11" s="308">
        <v>28.302</v>
      </c>
      <c r="D11" s="308">
        <v>1482.5</v>
      </c>
      <c r="E11" s="308">
        <v>1</v>
      </c>
      <c r="F11" s="202">
        <f>ROUND(C11*D11*E11,2)+1.38</f>
        <v>41959.1</v>
      </c>
      <c r="G11" s="202">
        <v>1</v>
      </c>
      <c r="H11" s="202">
        <f t="shared" si="0"/>
        <v>41959.1</v>
      </c>
    </row>
    <row r="12" spans="1:8" ht="12.75">
      <c r="A12" s="40" t="s">
        <v>226</v>
      </c>
      <c r="B12" s="116" t="s">
        <v>225</v>
      </c>
      <c r="C12" s="308">
        <v>70.295</v>
      </c>
      <c r="D12" s="308">
        <v>1581.82</v>
      </c>
      <c r="E12" s="308">
        <v>1</v>
      </c>
      <c r="F12" s="202">
        <f>ROUND(C12*D12*E12,2)</f>
        <v>111194.04</v>
      </c>
      <c r="G12" s="202">
        <v>0.5</v>
      </c>
      <c r="H12" s="202">
        <f t="shared" si="0"/>
        <v>55597.02</v>
      </c>
    </row>
    <row r="13" spans="1:8" ht="12.75">
      <c r="A13" s="40" t="s">
        <v>226</v>
      </c>
      <c r="B13" s="116" t="s">
        <v>225</v>
      </c>
      <c r="C13" s="308">
        <v>531.276</v>
      </c>
      <c r="D13" s="308">
        <v>1482.5</v>
      </c>
      <c r="E13" s="308">
        <v>1</v>
      </c>
      <c r="F13" s="202">
        <f>ROUND(C13*D13*E13,2)-0.07</f>
        <v>787616.6000000001</v>
      </c>
      <c r="G13" s="202">
        <v>0.5</v>
      </c>
      <c r="H13" s="202">
        <f t="shared" si="0"/>
        <v>393808.3</v>
      </c>
    </row>
    <row r="14" spans="1:8" ht="12.75">
      <c r="A14" s="40" t="s">
        <v>224</v>
      </c>
      <c r="B14" s="116" t="s">
        <v>223</v>
      </c>
      <c r="C14" s="308"/>
      <c r="D14" s="309">
        <v>220940.74</v>
      </c>
      <c r="E14" s="308">
        <v>1</v>
      </c>
      <c r="F14" s="202">
        <f>ROUND(D14*E14,2)</f>
        <v>220940.74</v>
      </c>
      <c r="G14" s="202">
        <v>0.9</v>
      </c>
      <c r="H14" s="202">
        <f t="shared" si="0"/>
        <v>198846.67</v>
      </c>
    </row>
    <row r="15" spans="1:7" ht="12.75" hidden="1">
      <c r="A15" s="40" t="s">
        <v>224</v>
      </c>
      <c r="B15" s="116" t="s">
        <v>223</v>
      </c>
      <c r="C15" s="308"/>
      <c r="D15" s="309"/>
      <c r="E15" s="308"/>
      <c r="F15" s="202">
        <f>ROUND(C15*D15*E15,2)</f>
        <v>0</v>
      </c>
      <c r="G15" s="310"/>
    </row>
    <row r="16" spans="1:7" ht="51.75" hidden="1" thickBot="1">
      <c r="A16" s="24" t="s">
        <v>222</v>
      </c>
      <c r="B16" s="115" t="s">
        <v>221</v>
      </c>
      <c r="C16" s="311"/>
      <c r="D16" s="311"/>
      <c r="E16" s="311"/>
      <c r="F16" s="202">
        <f>ROUND(C16*D16*E16,2)</f>
        <v>0</v>
      </c>
      <c r="G16" s="310"/>
    </row>
    <row r="17" spans="6:7" ht="12.75">
      <c r="F17" s="288"/>
      <c r="G17" s="288"/>
    </row>
    <row r="18" ht="12.75">
      <c r="C18" s="288"/>
    </row>
    <row r="19" spans="3:7" ht="12.75">
      <c r="C19" s="288"/>
      <c r="F19" s="288"/>
      <c r="G19" s="288"/>
    </row>
    <row r="20" ht="12.75">
      <c r="C20" s="288"/>
    </row>
    <row r="21" spans="1:82" ht="12.75">
      <c r="A21" s="19" t="str">
        <f>свод!A147</f>
        <v>Директор МБОУ "Кадетская школа № 46 г. Пензы"</v>
      </c>
      <c r="B21" s="19"/>
      <c r="C21" s="19"/>
      <c r="D21" s="19" t="str">
        <f>свод!I147</f>
        <v>Борисов В.А.</v>
      </c>
      <c r="E21" s="2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</row>
    <row r="22" spans="1:82" ht="12.75">
      <c r="A22" s="15"/>
      <c r="B22" s="15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</row>
    <row r="23" spans="1:82" ht="12.75">
      <c r="A23" s="15"/>
      <c r="B23" s="15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</row>
    <row r="24" spans="1:82" ht="12.75">
      <c r="A24" s="15" t="s">
        <v>327</v>
      </c>
      <c r="B24" s="15"/>
      <c r="D24" s="15" t="str">
        <f>свод!I150</f>
        <v>Нелюбова Н.Е.</v>
      </c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</row>
    <row r="25" spans="1:82" ht="12.75">
      <c r="A25" s="15"/>
      <c r="B25" s="1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</row>
  </sheetData>
  <sheetProtection/>
  <mergeCells count="1">
    <mergeCell ref="A2:F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18" sqref="J18:K18"/>
    </sheetView>
  </sheetViews>
  <sheetFormatPr defaultColWidth="9.140625" defaultRowHeight="15"/>
  <cols>
    <col min="1" max="1" width="18.8515625" style="89" customWidth="1"/>
    <col min="2" max="2" width="11.28125" style="89" customWidth="1"/>
    <col min="3" max="3" width="9.421875" style="89" customWidth="1"/>
    <col min="4" max="4" width="10.7109375" style="89" customWidth="1"/>
    <col min="5" max="5" width="8.57421875" style="89" customWidth="1"/>
    <col min="6" max="6" width="11.28125" style="89" customWidth="1"/>
    <col min="7" max="7" width="9.140625" style="89" customWidth="1"/>
    <col min="8" max="8" width="13.00390625" style="89" customWidth="1"/>
    <col min="9" max="9" width="9.140625" style="89" customWidth="1"/>
    <col min="10" max="11" width="10.140625" style="89" bestFit="1" customWidth="1"/>
    <col min="12" max="16384" width="9.140625" style="89" customWidth="1"/>
  </cols>
  <sheetData>
    <row r="1" spans="5:6" ht="12.75">
      <c r="E1" s="446" t="s">
        <v>241</v>
      </c>
      <c r="F1" s="446"/>
    </row>
    <row r="2" spans="1:4" ht="18.75">
      <c r="A2" s="444" t="s">
        <v>238</v>
      </c>
      <c r="B2" s="446"/>
      <c r="C2" s="446"/>
      <c r="D2" s="446"/>
    </row>
    <row r="3" spans="1:4" ht="18.75">
      <c r="A3" s="104"/>
      <c r="B3" s="113"/>
      <c r="C3" s="113"/>
      <c r="D3" s="113"/>
    </row>
    <row r="4" spans="1:4" ht="19.5" thickBot="1">
      <c r="A4" s="104"/>
      <c r="B4" s="113"/>
      <c r="C4" s="113"/>
      <c r="D4" s="113"/>
    </row>
    <row r="5" spans="1:4" s="129" customFormat="1" ht="39" customHeight="1">
      <c r="A5" s="131"/>
      <c r="B5" s="31" t="s">
        <v>240</v>
      </c>
      <c r="C5" s="130" t="s">
        <v>239</v>
      </c>
      <c r="D5" s="30" t="s">
        <v>238</v>
      </c>
    </row>
    <row r="6" spans="1:4" ht="12.75">
      <c r="A6" s="128" t="s">
        <v>237</v>
      </c>
      <c r="B6" s="127">
        <v>24447455</v>
      </c>
      <c r="C6" s="126">
        <v>0.022</v>
      </c>
      <c r="D6" s="99">
        <f>ROUND(B6*C6,0)</f>
        <v>537844</v>
      </c>
    </row>
    <row r="7" spans="1:4" ht="12.75">
      <c r="A7" s="128" t="s">
        <v>236</v>
      </c>
      <c r="B7" s="127">
        <v>24970645</v>
      </c>
      <c r="C7" s="126">
        <v>0.015</v>
      </c>
      <c r="D7" s="99">
        <f>ROUND(B7*C7,0)</f>
        <v>374560</v>
      </c>
    </row>
    <row r="8" spans="1:4" ht="12.75">
      <c r="A8" s="128" t="s">
        <v>235</v>
      </c>
      <c r="B8" s="127"/>
      <c r="C8" s="126"/>
      <c r="D8" s="125">
        <v>5670</v>
      </c>
    </row>
    <row r="9" spans="1:4" ht="12.75">
      <c r="A9" s="303" t="s">
        <v>381</v>
      </c>
      <c r="B9" s="127"/>
      <c r="C9" s="126"/>
      <c r="D9" s="125"/>
    </row>
    <row r="10" spans="1:4" ht="12.75">
      <c r="A10" s="303"/>
      <c r="B10" s="123"/>
      <c r="C10" s="122"/>
      <c r="D10" s="121"/>
    </row>
    <row r="11" spans="1:4" ht="12.75">
      <c r="A11" s="124"/>
      <c r="B11" s="123"/>
      <c r="C11" s="122"/>
      <c r="D11" s="121"/>
    </row>
    <row r="12" spans="1:4" ht="13.5" thickBot="1">
      <c r="A12" s="120"/>
      <c r="B12" s="119"/>
      <c r="C12" s="98"/>
      <c r="D12" s="118"/>
    </row>
    <row r="14" spans="1:8" ht="15.75">
      <c r="A14" s="451" t="s">
        <v>233</v>
      </c>
      <c r="B14" s="451"/>
      <c r="C14" s="451"/>
      <c r="D14" s="451"/>
      <c r="E14" s="451"/>
      <c r="F14" s="451"/>
      <c r="G14" s="305"/>
      <c r="H14" s="15"/>
    </row>
    <row r="15" spans="1:8" ht="12.75">
      <c r="A15" s="80"/>
      <c r="B15" s="80"/>
      <c r="C15" s="15"/>
      <c r="D15" s="15"/>
      <c r="E15" s="15"/>
      <c r="F15" s="15"/>
      <c r="G15" s="15"/>
      <c r="H15" s="15"/>
    </row>
    <row r="16" spans="1:8" ht="13.5" thickBot="1">
      <c r="A16" s="80"/>
      <c r="B16" s="80"/>
      <c r="C16" s="15"/>
      <c r="D16" s="15"/>
      <c r="E16" s="15"/>
      <c r="F16" s="15"/>
      <c r="G16" s="15"/>
      <c r="H16" s="15"/>
    </row>
    <row r="17" spans="1:8" ht="102">
      <c r="A17" s="79"/>
      <c r="B17" s="306" t="s">
        <v>232</v>
      </c>
      <c r="C17" s="31" t="s">
        <v>208</v>
      </c>
      <c r="D17" s="31" t="s">
        <v>231</v>
      </c>
      <c r="E17" s="31" t="s">
        <v>124</v>
      </c>
      <c r="F17" s="30" t="s">
        <v>382</v>
      </c>
      <c r="G17" s="307" t="s">
        <v>384</v>
      </c>
      <c r="H17" s="30" t="s">
        <v>230</v>
      </c>
    </row>
    <row r="18" spans="1:11" ht="12.75">
      <c r="A18" s="40" t="s">
        <v>226</v>
      </c>
      <c r="B18" s="116" t="s">
        <v>225</v>
      </c>
      <c r="C18" s="308">
        <v>70.295</v>
      </c>
      <c r="D18" s="308">
        <v>1581.82</v>
      </c>
      <c r="E18" s="308">
        <v>1</v>
      </c>
      <c r="F18" s="202">
        <f>ROUND(C18*D18*E18,2)</f>
        <v>111194.04</v>
      </c>
      <c r="G18" s="202">
        <v>0.5</v>
      </c>
      <c r="H18" s="202">
        <f>'пр.5'!F12-'пр.5'!H12</f>
        <v>55597.02</v>
      </c>
      <c r="J18" s="114"/>
      <c r="K18" s="114"/>
    </row>
    <row r="19" spans="1:8" ht="12.75">
      <c r="A19" s="40" t="s">
        <v>226</v>
      </c>
      <c r="B19" s="116" t="s">
        <v>225</v>
      </c>
      <c r="C19" s="308">
        <f>'пр.5'!C13</f>
        <v>531.276</v>
      </c>
      <c r="D19" s="308">
        <f>'пр.5'!D13</f>
        <v>1482.5</v>
      </c>
      <c r="E19" s="308">
        <v>1</v>
      </c>
      <c r="F19" s="202">
        <f>ROUND(C19*D19*E19,2)</f>
        <v>787616.67</v>
      </c>
      <c r="G19" s="202">
        <v>0.5</v>
      </c>
      <c r="H19" s="202">
        <f>'пр.5'!F13-'пр.5'!H13</f>
        <v>393808.3000000001</v>
      </c>
    </row>
    <row r="20" spans="1:8" ht="12.75">
      <c r="A20" s="40" t="s">
        <v>224</v>
      </c>
      <c r="B20" s="116" t="s">
        <v>223</v>
      </c>
      <c r="C20" s="308"/>
      <c r="D20" s="308">
        <f>'пр.5'!D14</f>
        <v>220940.74</v>
      </c>
      <c r="E20" s="308">
        <v>1</v>
      </c>
      <c r="F20" s="202">
        <f>ROUND(D20*E20,2)</f>
        <v>220940.74</v>
      </c>
      <c r="G20" s="202">
        <v>0.1</v>
      </c>
      <c r="H20" s="202">
        <f>'пр.5'!F14-'пр.5'!H14</f>
        <v>22094.069999999978</v>
      </c>
    </row>
    <row r="23" spans="1:5" ht="12.75">
      <c r="A23" s="89" t="str">
        <f>свод!A147</f>
        <v>Директор МБОУ "Кадетская школа № 46 г. Пензы"</v>
      </c>
      <c r="E23" s="89" t="str">
        <f>свод!I147</f>
        <v>Борисов В.А.</v>
      </c>
    </row>
    <row r="26" spans="1:5" ht="12.75">
      <c r="A26" s="89" t="str">
        <f>свод!A150</f>
        <v>Гл.бухгалтер _____________</v>
      </c>
      <c r="E26" s="89" t="str">
        <f>свод!I150</f>
        <v>Нелюбова Н.Е.</v>
      </c>
    </row>
  </sheetData>
  <sheetProtection/>
  <mergeCells count="3">
    <mergeCell ref="E1:F1"/>
    <mergeCell ref="A2:D2"/>
    <mergeCell ref="A14:F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H52" sqref="H52"/>
    </sheetView>
  </sheetViews>
  <sheetFormatPr defaultColWidth="9.140625" defaultRowHeight="15"/>
  <cols>
    <col min="1" max="2" width="7.57421875" style="89" customWidth="1"/>
    <col min="3" max="3" width="15.57421875" style="89" customWidth="1"/>
    <col min="4" max="4" width="18.140625" style="89" customWidth="1"/>
    <col min="5" max="5" width="15.140625" style="89" customWidth="1"/>
    <col min="6" max="6" width="8.00390625" style="89" customWidth="1"/>
    <col min="7" max="7" width="13.421875" style="89" bestFit="1" customWidth="1"/>
    <col min="8" max="8" width="15.8515625" style="89" customWidth="1"/>
    <col min="9" max="9" width="12.140625" style="89" customWidth="1"/>
    <col min="10" max="10" width="10.7109375" style="89" bestFit="1" customWidth="1"/>
    <col min="11" max="12" width="9.140625" style="89" customWidth="1"/>
    <col min="13" max="13" width="10.140625" style="89" bestFit="1" customWidth="1"/>
    <col min="14" max="16384" width="9.140625" style="89" customWidth="1"/>
  </cols>
  <sheetData>
    <row r="1" spans="6:17" ht="15.75">
      <c r="F1" s="92"/>
      <c r="G1" s="92"/>
      <c r="H1" s="92"/>
      <c r="I1" s="91" t="s">
        <v>324</v>
      </c>
      <c r="J1" s="91"/>
      <c r="K1" s="91"/>
      <c r="L1" s="91"/>
      <c r="M1" s="214"/>
      <c r="N1" s="91"/>
      <c r="O1" s="91"/>
      <c r="P1" s="214"/>
      <c r="Q1" s="214"/>
    </row>
    <row r="2" spans="1:17" ht="18">
      <c r="A2" s="452" t="s">
        <v>319</v>
      </c>
      <c r="B2" s="452"/>
      <c r="C2" s="452"/>
      <c r="D2" s="452"/>
      <c r="E2" s="452"/>
      <c r="F2" s="92"/>
      <c r="G2" s="92"/>
      <c r="H2" s="92"/>
      <c r="I2" s="91"/>
      <c r="J2" s="91"/>
      <c r="K2" s="91"/>
      <c r="L2" s="91"/>
      <c r="M2" s="91"/>
      <c r="N2" s="91"/>
      <c r="O2" s="91" t="s">
        <v>333</v>
      </c>
      <c r="P2" s="91"/>
      <c r="Q2" s="91"/>
    </row>
    <row r="3" spans="6:17" ht="12.75">
      <c r="F3" s="92"/>
      <c r="G3" s="92"/>
      <c r="H3" s="92"/>
      <c r="I3" s="91" t="s">
        <v>321</v>
      </c>
      <c r="J3" s="91" t="s">
        <v>320</v>
      </c>
      <c r="K3" s="91" t="s">
        <v>322</v>
      </c>
      <c r="L3" s="91" t="s">
        <v>323</v>
      </c>
      <c r="M3" s="91"/>
      <c r="N3" s="91"/>
      <c r="O3" s="226" t="s">
        <v>325</v>
      </c>
      <c r="P3" s="226" t="s">
        <v>320</v>
      </c>
      <c r="Q3" s="226" t="s">
        <v>322</v>
      </c>
    </row>
    <row r="4" spans="5:17" ht="18.75">
      <c r="E4" s="89">
        <f>I4+J4+K4+L4</f>
        <v>593</v>
      </c>
      <c r="F4" s="92"/>
      <c r="G4" s="92" t="s">
        <v>316</v>
      </c>
      <c r="H4" s="92"/>
      <c r="I4" s="212">
        <v>270</v>
      </c>
      <c r="J4" s="212">
        <v>273</v>
      </c>
      <c r="K4" s="212">
        <v>50</v>
      </c>
      <c r="L4" s="286">
        <f>O4+P4+Q4</f>
        <v>0</v>
      </c>
      <c r="M4" s="91">
        <f>D10-I4-J4-K4-L4</f>
        <v>21369</v>
      </c>
      <c r="N4" s="91"/>
      <c r="O4" s="229">
        <v>0</v>
      </c>
      <c r="P4" s="229"/>
      <c r="Q4" s="229">
        <v>0</v>
      </c>
    </row>
    <row r="5" spans="1:17" ht="12.75">
      <c r="A5" s="100" t="s">
        <v>143</v>
      </c>
      <c r="B5" s="100" t="s">
        <v>318</v>
      </c>
      <c r="C5" s="100" t="s">
        <v>317</v>
      </c>
      <c r="D5" s="100" t="s">
        <v>123</v>
      </c>
      <c r="E5" s="100" t="s">
        <v>316</v>
      </c>
      <c r="F5" s="92"/>
      <c r="G5" s="92"/>
      <c r="H5" s="92"/>
      <c r="I5" s="91"/>
      <c r="J5" s="91"/>
      <c r="K5" s="91"/>
      <c r="L5" s="91"/>
      <c r="M5" s="91"/>
      <c r="N5" s="91"/>
      <c r="O5" s="226"/>
      <c r="P5" s="226"/>
      <c r="Q5" s="226"/>
    </row>
    <row r="6" spans="1:17" s="217" customFormat="1" ht="12.75">
      <c r="A6" s="223"/>
      <c r="B6" s="223"/>
      <c r="C6" s="224">
        <f>SUM(C14:C27)</f>
        <v>19442306</v>
      </c>
      <c r="D6" s="224">
        <f>SUM(D14:D27)</f>
        <v>19442306</v>
      </c>
      <c r="E6" s="224">
        <f>SUM(E14:E27)</f>
        <v>0</v>
      </c>
      <c r="F6" s="219"/>
      <c r="G6" s="219"/>
      <c r="H6" s="219"/>
      <c r="I6" s="229"/>
      <c r="J6" s="229">
        <v>1</v>
      </c>
      <c r="K6" s="229"/>
      <c r="L6" s="91"/>
      <c r="M6" s="91" t="s">
        <v>331</v>
      </c>
      <c r="N6" s="91"/>
      <c r="O6" s="226"/>
      <c r="P6" s="226"/>
      <c r="Q6" s="226"/>
    </row>
    <row r="7" spans="1:17" s="217" customFormat="1" ht="12.75">
      <c r="A7" s="223">
        <v>211</v>
      </c>
      <c r="B7" s="222" t="s">
        <v>315</v>
      </c>
      <c r="C7" s="221">
        <v>11949450</v>
      </c>
      <c r="D7" s="220">
        <f>свод!F25+свод!F38</f>
        <v>11949450</v>
      </c>
      <c r="E7" s="215">
        <f aca="true" t="shared" si="0" ref="E7:E27">C7-D7</f>
        <v>0</v>
      </c>
      <c r="F7" s="92"/>
      <c r="G7" s="92"/>
      <c r="H7" s="92"/>
      <c r="I7" s="226">
        <v>2771.1</v>
      </c>
      <c r="J7" s="226">
        <v>3576.45</v>
      </c>
      <c r="K7" s="226">
        <v>3755.42</v>
      </c>
      <c r="L7" s="226"/>
      <c r="M7" s="91" t="s">
        <v>330</v>
      </c>
      <c r="N7" s="91"/>
      <c r="O7" s="226"/>
      <c r="P7" s="226"/>
      <c r="Q7" s="226"/>
    </row>
    <row r="8" spans="1:17" s="217" customFormat="1" ht="12.75">
      <c r="A8" s="223">
        <v>213</v>
      </c>
      <c r="B8" s="222" t="s">
        <v>315</v>
      </c>
      <c r="C8" s="221">
        <v>3608734</v>
      </c>
      <c r="D8" s="220">
        <f>свод!F40+свод!F26</f>
        <v>3608734</v>
      </c>
      <c r="E8" s="215">
        <f t="shared" si="0"/>
        <v>0</v>
      </c>
      <c r="F8" s="218"/>
      <c r="G8" s="218"/>
      <c r="H8" s="218">
        <f>I8*I4+J8*J4+K8*K4</f>
        <v>12162515.7</v>
      </c>
      <c r="I8" s="178">
        <v>16238.4</v>
      </c>
      <c r="J8" s="178">
        <v>23534.9</v>
      </c>
      <c r="K8" s="178">
        <v>27062.4</v>
      </c>
      <c r="L8" s="178">
        <f>IF(L4=0,0,ROUND((O8*O4+P8*P4+Q8*Q4)/L4,0))</f>
        <v>0</v>
      </c>
      <c r="M8" s="91" t="s">
        <v>328</v>
      </c>
      <c r="N8" s="91"/>
      <c r="O8" s="226">
        <v>37320</v>
      </c>
      <c r="P8" s="226">
        <v>61758.4</v>
      </c>
      <c r="Q8" s="226">
        <v>97628</v>
      </c>
    </row>
    <row r="9" spans="1:17" s="217" customFormat="1" ht="12.75">
      <c r="A9" s="223">
        <v>221</v>
      </c>
      <c r="B9" s="222" t="s">
        <v>315</v>
      </c>
      <c r="C9" s="221">
        <v>112576.72</v>
      </c>
      <c r="D9" s="220">
        <f>'пр.1+2 '!D44:'пр.1+2 '!C44</f>
        <v>112576.72</v>
      </c>
      <c r="E9" s="215">
        <f t="shared" si="0"/>
        <v>0</v>
      </c>
      <c r="F9" s="218"/>
      <c r="G9" s="218"/>
      <c r="H9" s="218">
        <f>I9*$I$4+J9*$J$4+K9*$K$4+L9*$L$4</f>
        <v>4560064.600000001</v>
      </c>
      <c r="I9" s="178">
        <v>6045.400000000001</v>
      </c>
      <c r="J9" s="178">
        <v>8854.2</v>
      </c>
      <c r="K9" s="178">
        <v>10212.2</v>
      </c>
      <c r="L9" s="178">
        <f>IF(L4=0,0,ROUND((O9*O4+P9*P4+Q9*Q4)/L4,0))</f>
        <v>0</v>
      </c>
      <c r="M9" s="91" t="s">
        <v>329</v>
      </c>
      <c r="N9" s="91"/>
      <c r="O9" s="226">
        <v>14160.8</v>
      </c>
      <c r="P9" s="226">
        <v>23568.399999999998</v>
      </c>
      <c r="Q9" s="226">
        <v>37376.5</v>
      </c>
    </row>
    <row r="10" spans="1:17" s="217" customFormat="1" ht="12.75">
      <c r="A10" s="223">
        <v>226</v>
      </c>
      <c r="B10" s="222" t="s">
        <v>315</v>
      </c>
      <c r="C10" s="227">
        <v>21962</v>
      </c>
      <c r="D10" s="220">
        <f>'пр.1+2 '!D42:E42</f>
        <v>21962</v>
      </c>
      <c r="E10" s="215">
        <f t="shared" si="0"/>
        <v>0</v>
      </c>
      <c r="F10" s="218">
        <f>ROUND(C10/$E$4,2)</f>
        <v>37.04</v>
      </c>
      <c r="G10" s="218"/>
      <c r="H10" s="218"/>
      <c r="I10" s="89">
        <f>F10</f>
        <v>37.04</v>
      </c>
      <c r="J10" s="89">
        <f>I10</f>
        <v>37.04</v>
      </c>
      <c r="K10" s="89">
        <f>J10</f>
        <v>37.04</v>
      </c>
      <c r="L10" s="89">
        <f>IF($L$4=0,0,F10)</f>
        <v>0</v>
      </c>
      <c r="M10" s="91"/>
      <c r="N10" s="91"/>
      <c r="O10" s="91"/>
      <c r="P10" s="91"/>
      <c r="Q10" s="91"/>
    </row>
    <row r="11" spans="1:17" s="217" customFormat="1" ht="12.75">
      <c r="A11" s="223">
        <v>226</v>
      </c>
      <c r="B11" s="222" t="s">
        <v>315</v>
      </c>
      <c r="C11" s="285">
        <f>49832.62-C10</f>
        <v>27870.620000000003</v>
      </c>
      <c r="D11" s="220">
        <f>'пр.1+2 '!D43:E43</f>
        <v>27870.620000000003</v>
      </c>
      <c r="E11" s="215">
        <f t="shared" si="0"/>
        <v>0</v>
      </c>
      <c r="F11" s="218"/>
      <c r="G11" s="218"/>
      <c r="H11" s="218"/>
      <c r="I11" s="178"/>
      <c r="J11" s="178"/>
      <c r="K11" s="178"/>
      <c r="L11" s="178"/>
      <c r="M11" s="91"/>
      <c r="N11" s="91"/>
      <c r="O11" s="91"/>
      <c r="P11" s="91"/>
      <c r="Q11" s="91"/>
    </row>
    <row r="12" spans="1:17" s="217" customFormat="1" ht="12.75">
      <c r="A12" s="223">
        <v>310</v>
      </c>
      <c r="B12" s="222" t="s">
        <v>315</v>
      </c>
      <c r="C12" s="221">
        <v>138673</v>
      </c>
      <c r="D12" s="220">
        <f>'пр.1+2 '!D45:E45</f>
        <v>138673</v>
      </c>
      <c r="E12" s="215">
        <f t="shared" si="0"/>
        <v>0</v>
      </c>
      <c r="F12" s="218"/>
      <c r="G12" s="219"/>
      <c r="M12" s="89"/>
      <c r="N12" s="91"/>
      <c r="O12" s="91"/>
      <c r="P12" s="91"/>
      <c r="Q12" s="91"/>
    </row>
    <row r="13" spans="1:7" s="217" customFormat="1" ht="12.75">
      <c r="A13" s="223">
        <v>340</v>
      </c>
      <c r="B13" s="222" t="s">
        <v>315</v>
      </c>
      <c r="C13" s="221">
        <v>38075.66</v>
      </c>
      <c r="D13" s="220">
        <f>'пр.1+2 '!D46:E46</f>
        <v>38075.66</v>
      </c>
      <c r="E13" s="215">
        <f t="shared" si="0"/>
        <v>0</v>
      </c>
      <c r="F13" s="218"/>
      <c r="G13" s="218"/>
    </row>
    <row r="14" spans="1:12" s="217" customFormat="1" ht="13.5" thickBot="1">
      <c r="A14" s="223"/>
      <c r="B14" s="222"/>
      <c r="C14" s="230">
        <f>SUM(C7:C13)</f>
        <v>15897342</v>
      </c>
      <c r="D14" s="230">
        <f>SUM(D7:D13)</f>
        <v>15897342</v>
      </c>
      <c r="E14" s="230">
        <f>SUM(E7:E13)</f>
        <v>0</v>
      </c>
      <c r="F14" s="218"/>
      <c r="G14" s="219">
        <f>H14-C14</f>
        <v>850779.3200000003</v>
      </c>
      <c r="H14" s="218">
        <f>I14*$I$4+J14*$J$4+K14*$K$4+L14*$L$4</f>
        <v>16748121.32</v>
      </c>
      <c r="I14" s="194">
        <f>ROUND(IF(I4=0,0,I8+I9+I10)+IF(I6=0,0,I7/I4),2)</f>
        <v>22320.84</v>
      </c>
      <c r="J14" s="194">
        <f>ROUND(IF(J4=0,0,J8+J9+J10)+IF(J6=0,0,J7/J4),2)</f>
        <v>32439.24</v>
      </c>
      <c r="K14" s="194">
        <f>ROUND(IF(K4=0,0,K8+K9+K10)+IF(K6=0,0,K7/K4),2)</f>
        <v>37311.64</v>
      </c>
      <c r="L14" s="194">
        <f>ROUND(IF(L4=0,0,L8+L9+L10)+IF(L6=0,0,L7/L4),2)</f>
        <v>0</v>
      </c>
    </row>
    <row r="15" spans="1:12" s="217" customFormat="1" ht="12.75">
      <c r="A15" s="223"/>
      <c r="B15" s="222"/>
      <c r="C15" s="230"/>
      <c r="D15" s="230"/>
      <c r="E15" s="230"/>
      <c r="F15" s="218"/>
      <c r="G15" s="219"/>
      <c r="H15" s="218" t="s">
        <v>334</v>
      </c>
      <c r="I15" s="217">
        <f>-ROUND(G14/E4,2)</f>
        <v>-1434.7</v>
      </c>
      <c r="J15" s="217">
        <f>I15</f>
        <v>-1434.7</v>
      </c>
      <c r="K15" s="217">
        <f>I15</f>
        <v>-1434.7</v>
      </c>
      <c r="L15" s="217">
        <f>I15</f>
        <v>-1434.7</v>
      </c>
    </row>
    <row r="16" spans="1:12" s="217" customFormat="1" ht="12.75">
      <c r="A16" s="223"/>
      <c r="B16" s="222"/>
      <c r="C16" s="230"/>
      <c r="D16" s="230"/>
      <c r="E16" s="230"/>
      <c r="F16" s="218"/>
      <c r="G16" s="219">
        <f>C14-H16</f>
        <v>-2.219999998807907</v>
      </c>
      <c r="H16" s="218">
        <f>I16*$I$4+J16*$J$4+K16*$K$4+L16*$L$4</f>
        <v>15897344.219999999</v>
      </c>
      <c r="I16" s="217">
        <f>I14+I15</f>
        <v>20886.14</v>
      </c>
      <c r="J16" s="217">
        <f>J14+J15</f>
        <v>31004.54</v>
      </c>
      <c r="K16" s="217">
        <f>K14+K15</f>
        <v>35876.94</v>
      </c>
      <c r="L16" s="217">
        <f>L14+L15</f>
        <v>-1434.7</v>
      </c>
    </row>
    <row r="17" spans="1:17" ht="12.75">
      <c r="A17" s="100">
        <v>211</v>
      </c>
      <c r="B17" s="100">
        <v>901</v>
      </c>
      <c r="C17" s="216">
        <v>824448</v>
      </c>
      <c r="D17" s="215">
        <f>свод!F16+свод!F43</f>
        <v>824448</v>
      </c>
      <c r="E17" s="215">
        <f t="shared" si="0"/>
        <v>0</v>
      </c>
      <c r="F17" s="218">
        <f>ROUND(C17/$E$4,2)</f>
        <v>1390.3</v>
      </c>
      <c r="G17" s="219">
        <f>H17-C17</f>
        <v>-0.10000000009313226</v>
      </c>
      <c r="H17" s="218">
        <f>I17*$I$4+J17*$J$4+K17*$K$4+L17*$L$4</f>
        <v>824447.8999999999</v>
      </c>
      <c r="I17" s="89">
        <f>IF($I$4=0,0,F17)</f>
        <v>1390.3</v>
      </c>
      <c r="J17" s="89">
        <f>IF($J$4=0,0,F17)</f>
        <v>1390.3</v>
      </c>
      <c r="K17" s="89">
        <f>IF($K$4=0,0,F17)</f>
        <v>1390.3</v>
      </c>
      <c r="L17" s="89">
        <f>IF($L$4=0,0,F17)</f>
        <v>0</v>
      </c>
      <c r="N17" s="91"/>
      <c r="O17" s="91"/>
      <c r="P17" s="91"/>
      <c r="Q17" s="91"/>
    </row>
    <row r="18" spans="1:17" ht="12.75">
      <c r="A18" s="100">
        <v>212</v>
      </c>
      <c r="B18" s="100">
        <v>901</v>
      </c>
      <c r="C18" s="216">
        <v>3000</v>
      </c>
      <c r="D18" s="215">
        <f>свод!F35</f>
        <v>3000</v>
      </c>
      <c r="E18" s="215">
        <f t="shared" si="0"/>
        <v>0</v>
      </c>
      <c r="F18" s="218">
        <f aca="true" t="shared" si="1" ref="F18:F27">ROUND(C18/$E$4,2)</f>
        <v>5.06</v>
      </c>
      <c r="G18" s="219">
        <f aca="true" t="shared" si="2" ref="G18:G27">H18-C18</f>
        <v>0.5799999999999272</v>
      </c>
      <c r="H18" s="218">
        <f aca="true" t="shared" si="3" ref="H18:H25">I18*$I$4+J18*$J$4+K18*$K$4+L18*$L$4</f>
        <v>3000.58</v>
      </c>
      <c r="I18" s="89">
        <f aca="true" t="shared" si="4" ref="I18:I27">IF($I$4=0,0,F18)</f>
        <v>5.06</v>
      </c>
      <c r="J18" s="89">
        <f aca="true" t="shared" si="5" ref="J18:J27">IF($J$4=0,0,I18)</f>
        <v>5.06</v>
      </c>
      <c r="K18" s="89">
        <f aca="true" t="shared" si="6" ref="K18:K27">IF($K$4=0,0,F18)</f>
        <v>5.06</v>
      </c>
      <c r="L18" s="89">
        <f aca="true" t="shared" si="7" ref="L18:L27">IF($L$4=0,0,F18)</f>
        <v>0</v>
      </c>
      <c r="N18" s="91"/>
      <c r="O18" s="91"/>
      <c r="P18" s="91"/>
      <c r="Q18" s="91"/>
    </row>
    <row r="19" spans="1:12" ht="12.75">
      <c r="A19" s="100">
        <v>213</v>
      </c>
      <c r="B19" s="100">
        <v>901</v>
      </c>
      <c r="C19" s="216">
        <v>249001</v>
      </c>
      <c r="D19" s="215">
        <f>свод!F17+свод!F45</f>
        <v>249001</v>
      </c>
      <c r="E19" s="215">
        <f t="shared" si="0"/>
        <v>0</v>
      </c>
      <c r="F19" s="218">
        <f t="shared" si="1"/>
        <v>419.9</v>
      </c>
      <c r="G19" s="219">
        <f t="shared" si="2"/>
        <v>-0.29999999998835847</v>
      </c>
      <c r="H19" s="218">
        <f t="shared" si="3"/>
        <v>249000.7</v>
      </c>
      <c r="I19" s="89">
        <f t="shared" si="4"/>
        <v>419.9</v>
      </c>
      <c r="J19" s="89">
        <f t="shared" si="5"/>
        <v>419.9</v>
      </c>
      <c r="K19" s="89">
        <f t="shared" si="6"/>
        <v>419.9</v>
      </c>
      <c r="L19" s="89">
        <f t="shared" si="7"/>
        <v>0</v>
      </c>
    </row>
    <row r="20" spans="1:12" ht="12.75">
      <c r="A20" s="100">
        <v>221</v>
      </c>
      <c r="B20" s="100">
        <v>901</v>
      </c>
      <c r="C20" s="216">
        <v>15035</v>
      </c>
      <c r="D20" s="215">
        <f>свод!F95</f>
        <v>15035</v>
      </c>
      <c r="E20" s="215">
        <f t="shared" si="0"/>
        <v>0</v>
      </c>
      <c r="F20" s="218">
        <f t="shared" si="1"/>
        <v>25.35</v>
      </c>
      <c r="G20" s="219">
        <f t="shared" si="2"/>
        <v>-2.4500000000007276</v>
      </c>
      <c r="H20" s="218">
        <f t="shared" si="3"/>
        <v>15032.55</v>
      </c>
      <c r="I20" s="89">
        <f t="shared" si="4"/>
        <v>25.35</v>
      </c>
      <c r="J20" s="89">
        <f t="shared" si="5"/>
        <v>25.35</v>
      </c>
      <c r="K20" s="89">
        <f t="shared" si="6"/>
        <v>25.35</v>
      </c>
      <c r="L20" s="89">
        <f t="shared" si="7"/>
        <v>0</v>
      </c>
    </row>
    <row r="21" spans="1:12" ht="12.75">
      <c r="A21" s="100">
        <v>222</v>
      </c>
      <c r="B21" s="100">
        <v>901</v>
      </c>
      <c r="C21" s="216">
        <v>0</v>
      </c>
      <c r="D21" s="215">
        <f>свод!F96</f>
        <v>0</v>
      </c>
      <c r="E21" s="215">
        <f t="shared" si="0"/>
        <v>0</v>
      </c>
      <c r="F21" s="218">
        <f t="shared" si="1"/>
        <v>0</v>
      </c>
      <c r="G21" s="219">
        <f t="shared" si="2"/>
        <v>0</v>
      </c>
      <c r="H21" s="218">
        <f t="shared" si="3"/>
        <v>0</v>
      </c>
      <c r="I21" s="89">
        <f t="shared" si="4"/>
        <v>0</v>
      </c>
      <c r="J21" s="89">
        <f t="shared" si="5"/>
        <v>0</v>
      </c>
      <c r="K21" s="89">
        <f t="shared" si="6"/>
        <v>0</v>
      </c>
      <c r="L21" s="89">
        <f t="shared" si="7"/>
        <v>0</v>
      </c>
    </row>
    <row r="22" spans="1:12" ht="12.75">
      <c r="A22" s="100">
        <v>223</v>
      </c>
      <c r="B22" s="100">
        <v>901</v>
      </c>
      <c r="C22" s="216">
        <v>1228558</v>
      </c>
      <c r="D22" s="215">
        <f>свод!F132+свод!F140+свод!F141</f>
        <v>1228558.0000000002</v>
      </c>
      <c r="E22" s="215">
        <f t="shared" si="0"/>
        <v>0</v>
      </c>
      <c r="F22" s="218">
        <f t="shared" si="1"/>
        <v>2071.77</v>
      </c>
      <c r="G22" s="219">
        <f t="shared" si="2"/>
        <v>1.6099999998696148</v>
      </c>
      <c r="H22" s="218">
        <f t="shared" si="3"/>
        <v>1228559.6099999999</v>
      </c>
      <c r="I22" s="89">
        <f t="shared" si="4"/>
        <v>2071.77</v>
      </c>
      <c r="J22" s="89">
        <f t="shared" si="5"/>
        <v>2071.77</v>
      </c>
      <c r="K22" s="89">
        <f t="shared" si="6"/>
        <v>2071.77</v>
      </c>
      <c r="L22" s="89">
        <f t="shared" si="7"/>
        <v>0</v>
      </c>
    </row>
    <row r="23" spans="1:12" ht="12.75">
      <c r="A23" s="100">
        <v>224</v>
      </c>
      <c r="B23" s="100">
        <v>901</v>
      </c>
      <c r="C23" s="216">
        <v>0</v>
      </c>
      <c r="D23" s="215"/>
      <c r="E23" s="215">
        <f t="shared" si="0"/>
        <v>0</v>
      </c>
      <c r="F23" s="218">
        <f t="shared" si="1"/>
        <v>0</v>
      </c>
      <c r="G23" s="219">
        <f t="shared" si="2"/>
        <v>0</v>
      </c>
      <c r="H23" s="218">
        <f t="shared" si="3"/>
        <v>0</v>
      </c>
      <c r="I23" s="89">
        <f t="shared" si="4"/>
        <v>0</v>
      </c>
      <c r="J23" s="89">
        <f t="shared" si="5"/>
        <v>0</v>
      </c>
      <c r="K23" s="89">
        <f t="shared" si="6"/>
        <v>0</v>
      </c>
      <c r="L23" s="89">
        <f t="shared" si="7"/>
        <v>0</v>
      </c>
    </row>
    <row r="24" spans="1:12" ht="12.75">
      <c r="A24" s="100">
        <v>225</v>
      </c>
      <c r="B24" s="100">
        <v>901</v>
      </c>
      <c r="C24" s="216">
        <v>196164</v>
      </c>
      <c r="D24" s="215">
        <f>свод!F49+свод!F50+свод!F51+свод!F53+свод!F109+свод!F110+свод!F57+свод!F58+свод!F59+свод!F62+свод!F52+свод!F63+свод!F60+свод!F61+свод!F65+свод!F66+свод!F56+свод!F55</f>
        <v>196163.99999999997</v>
      </c>
      <c r="E24" s="215">
        <f t="shared" si="0"/>
        <v>0</v>
      </c>
      <c r="F24" s="218">
        <f t="shared" si="1"/>
        <v>330.8</v>
      </c>
      <c r="G24" s="219">
        <f t="shared" si="2"/>
        <v>0.40000000002328306</v>
      </c>
      <c r="H24" s="218">
        <f t="shared" si="3"/>
        <v>196164.40000000002</v>
      </c>
      <c r="I24" s="89">
        <f t="shared" si="4"/>
        <v>330.8</v>
      </c>
      <c r="J24" s="89">
        <f t="shared" si="5"/>
        <v>330.8</v>
      </c>
      <c r="K24" s="89">
        <f t="shared" si="6"/>
        <v>330.8</v>
      </c>
      <c r="L24" s="89">
        <f t="shared" si="7"/>
        <v>0</v>
      </c>
    </row>
    <row r="25" spans="1:12" ht="12.75">
      <c r="A25" s="100">
        <v>226</v>
      </c>
      <c r="B25" s="100">
        <v>901</v>
      </c>
      <c r="C25" s="216">
        <v>110684</v>
      </c>
      <c r="D25" s="215">
        <f>свод!F97+свод!F98+свод!F99+свод!F105+свод!F119+свод!F54+свод!F103+свод!F101+свод!F100+свод!F102+свод!F104+свод!F64</f>
        <v>110684</v>
      </c>
      <c r="E25" s="215">
        <f t="shared" si="0"/>
        <v>0</v>
      </c>
      <c r="F25" s="218">
        <f t="shared" si="1"/>
        <v>186.65</v>
      </c>
      <c r="G25" s="219">
        <f t="shared" si="2"/>
        <v>-0.5499999999883585</v>
      </c>
      <c r="H25" s="218">
        <f t="shared" si="3"/>
        <v>110683.45000000001</v>
      </c>
      <c r="I25" s="89">
        <f t="shared" si="4"/>
        <v>186.65</v>
      </c>
      <c r="J25" s="89">
        <f t="shared" si="5"/>
        <v>186.65</v>
      </c>
      <c r="K25" s="89">
        <f t="shared" si="6"/>
        <v>186.65</v>
      </c>
      <c r="L25" s="89">
        <f t="shared" si="7"/>
        <v>0</v>
      </c>
    </row>
    <row r="26" spans="1:12" ht="12.75">
      <c r="A26" s="100">
        <v>290</v>
      </c>
      <c r="B26" s="100">
        <v>901</v>
      </c>
      <c r="C26" s="216">
        <v>918074</v>
      </c>
      <c r="D26" s="215">
        <f>свод!F135+свод!F136+свод!F137+свод!F138+свод!F139</f>
        <v>918074</v>
      </c>
      <c r="E26" s="215">
        <f t="shared" si="0"/>
        <v>0</v>
      </c>
      <c r="F26" s="218">
        <f t="shared" si="1"/>
        <v>1548.19</v>
      </c>
      <c r="G26" s="219">
        <f t="shared" si="2"/>
        <v>2.669999999925494</v>
      </c>
      <c r="H26" s="218">
        <f>I26*$I$4+J26*$J$4+K26*$K$4+L26*$L$4</f>
        <v>918076.6699999999</v>
      </c>
      <c r="I26" s="89">
        <f t="shared" si="4"/>
        <v>1548.19</v>
      </c>
      <c r="J26" s="89">
        <f t="shared" si="5"/>
        <v>1548.19</v>
      </c>
      <c r="K26" s="89">
        <f t="shared" si="6"/>
        <v>1548.19</v>
      </c>
      <c r="L26" s="89">
        <f t="shared" si="7"/>
        <v>0</v>
      </c>
    </row>
    <row r="27" spans="1:12" ht="12.75">
      <c r="A27" s="100">
        <v>340</v>
      </c>
      <c r="B27" s="100">
        <v>901</v>
      </c>
      <c r="C27" s="216">
        <v>0</v>
      </c>
      <c r="D27" s="215">
        <f>свод!F117</f>
        <v>0</v>
      </c>
      <c r="E27" s="215">
        <f t="shared" si="0"/>
        <v>0</v>
      </c>
      <c r="F27" s="218">
        <f t="shared" si="1"/>
        <v>0</v>
      </c>
      <c r="G27" s="219">
        <f t="shared" si="2"/>
        <v>0</v>
      </c>
      <c r="H27" s="218"/>
      <c r="I27" s="89">
        <f t="shared" si="4"/>
        <v>0</v>
      </c>
      <c r="J27" s="89">
        <f t="shared" si="5"/>
        <v>0</v>
      </c>
      <c r="K27" s="89">
        <f t="shared" si="6"/>
        <v>0</v>
      </c>
      <c r="L27" s="89">
        <f t="shared" si="7"/>
        <v>0</v>
      </c>
    </row>
    <row r="28" spans="6:12" ht="12.75">
      <c r="F28" s="92"/>
      <c r="G28" s="228">
        <f>G16+G17+G18+G19+G20+G21+G22+G23+G24+G25+G26+G27</f>
        <v>-0.35999999906016455</v>
      </c>
      <c r="H28" s="217">
        <f>H16+H17+H18+H19+H20+H21+H22+H23+H24+H25+H26+H27</f>
        <v>19442310.08</v>
      </c>
      <c r="I28" s="217">
        <f>IF(I4=0,0,I16+I17+I18+I19+I20+I21+I22+I23+I24+I25+I26+I27)</f>
        <v>26864.16</v>
      </c>
      <c r="J28" s="217">
        <f>IF(J4=0,0,J16+J17+J18+J19+J20+J21+J22+J23+J24+J25+J26+J27)</f>
        <v>36982.560000000005</v>
      </c>
      <c r="K28" s="217">
        <f>IF(K4=0,0,K16+K17+K18+K19+K20+K21+K22+K23+K24+K25+K26+K27)</f>
        <v>41854.96000000001</v>
      </c>
      <c r="L28" s="217">
        <f>IF(L4=0,0,L16+L17+L18+L19+L20+L21+L22+L23+L24+L25+L26+L27)</f>
        <v>0</v>
      </c>
    </row>
    <row r="29" spans="9:12" ht="12.75">
      <c r="I29" s="89">
        <f>I28*I4</f>
        <v>7253323.2</v>
      </c>
      <c r="J29" s="89">
        <f>J28*J4</f>
        <v>10096238.88</v>
      </c>
      <c r="K29" s="89">
        <f>K28*K4</f>
        <v>2092748.0000000002</v>
      </c>
      <c r="L29" s="89">
        <f>L28*L4</f>
        <v>0</v>
      </c>
    </row>
    <row r="30" ht="12.75">
      <c r="M30" s="114"/>
    </row>
    <row r="32" ht="12.75">
      <c r="I32" s="114">
        <f>I29+J29+K29+L29-C6</f>
        <v>4.080000001937151</v>
      </c>
    </row>
    <row r="34" ht="5.25" customHeight="1"/>
    <row r="35" ht="3" customHeight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spans="1:6" ht="12.75">
      <c r="A50" s="89" t="s">
        <v>396</v>
      </c>
      <c r="F50" s="89" t="s">
        <v>390</v>
      </c>
    </row>
    <row r="53" spans="1:4" ht="12.75">
      <c r="A53" s="89" t="s">
        <v>327</v>
      </c>
      <c r="D53" s="89" t="s">
        <v>389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6.57421875" style="0" customWidth="1"/>
    <col min="2" max="2" width="35.57421875" style="0" customWidth="1"/>
    <col min="3" max="3" width="19.00390625" style="0" customWidth="1"/>
    <col min="4" max="5" width="12.7109375" style="0" customWidth="1"/>
    <col min="6" max="6" width="16.57421875" style="0" customWidth="1"/>
    <col min="7" max="7" width="11.57421875" style="0" customWidth="1"/>
    <col min="8" max="8" width="13.7109375" style="0" customWidth="1"/>
    <col min="9" max="9" width="22.421875" style="0" customWidth="1"/>
  </cols>
  <sheetData>
    <row r="1" spans="1:9" ht="18.75">
      <c r="A1" s="455" t="s">
        <v>367</v>
      </c>
      <c r="B1" s="455"/>
      <c r="C1" s="455"/>
      <c r="D1" s="455"/>
      <c r="E1" s="455"/>
      <c r="F1" s="455"/>
      <c r="G1" s="455"/>
      <c r="H1" s="455"/>
      <c r="I1" s="455"/>
    </row>
    <row r="2" spans="1:9" ht="18.75">
      <c r="A2" s="455" t="s">
        <v>368</v>
      </c>
      <c r="B2" s="455"/>
      <c r="C2" s="455"/>
      <c r="D2" s="455"/>
      <c r="E2" s="455"/>
      <c r="F2" s="455"/>
      <c r="G2" s="455"/>
      <c r="H2" s="455"/>
      <c r="I2" s="455"/>
    </row>
    <row r="3" spans="1:9" ht="18.75">
      <c r="A3" s="455" t="s">
        <v>385</v>
      </c>
      <c r="B3" s="455"/>
      <c r="C3" s="455"/>
      <c r="D3" s="455"/>
      <c r="E3" s="455"/>
      <c r="F3" s="455"/>
      <c r="G3" s="455"/>
      <c r="H3" s="455"/>
      <c r="I3" s="455"/>
    </row>
    <row r="4" spans="1:9" ht="18.75">
      <c r="A4" s="455" t="s">
        <v>392</v>
      </c>
      <c r="B4" s="455"/>
      <c r="C4" s="455"/>
      <c r="D4" s="455"/>
      <c r="E4" s="455"/>
      <c r="F4" s="455"/>
      <c r="G4" s="455"/>
      <c r="H4" s="455"/>
      <c r="I4" s="455"/>
    </row>
    <row r="5" spans="1:5" ht="18.75">
      <c r="A5" s="455"/>
      <c r="B5" s="455"/>
      <c r="C5" s="455"/>
      <c r="D5" s="455"/>
      <c r="E5" s="455"/>
    </row>
    <row r="7" spans="1:9" s="291" customFormat="1" ht="30" customHeight="1">
      <c r="A7" s="454" t="s">
        <v>369</v>
      </c>
      <c r="B7" s="454" t="s">
        <v>370</v>
      </c>
      <c r="C7" s="454" t="s">
        <v>371</v>
      </c>
      <c r="D7" s="454" t="s">
        <v>372</v>
      </c>
      <c r="E7" s="454"/>
      <c r="F7" s="454" t="s">
        <v>373</v>
      </c>
      <c r="G7" s="454"/>
      <c r="H7" s="456" t="s">
        <v>374</v>
      </c>
      <c r="I7" s="457" t="s">
        <v>375</v>
      </c>
    </row>
    <row r="8" spans="1:9" ht="60">
      <c r="A8" s="454"/>
      <c r="B8" s="454"/>
      <c r="C8" s="454"/>
      <c r="D8" s="292" t="s">
        <v>376</v>
      </c>
      <c r="E8" s="292" t="s">
        <v>377</v>
      </c>
      <c r="F8" s="292" t="s">
        <v>376</v>
      </c>
      <c r="G8" s="292" t="s">
        <v>377</v>
      </c>
      <c r="H8" s="456"/>
      <c r="I8" s="458"/>
    </row>
    <row r="9" spans="1:9" ht="45">
      <c r="A9" s="293"/>
      <c r="B9" s="294" t="s">
        <v>378</v>
      </c>
      <c r="C9" s="295">
        <f>проверка!C6</f>
        <v>19442306</v>
      </c>
      <c r="D9" s="295">
        <v>11059901</v>
      </c>
      <c r="E9" s="295">
        <v>7075803</v>
      </c>
      <c r="F9" s="295">
        <v>11057019</v>
      </c>
      <c r="G9" s="295">
        <v>7072921</v>
      </c>
      <c r="H9" s="295">
        <f>D9-F9</f>
        <v>2882</v>
      </c>
      <c r="I9" s="296"/>
    </row>
    <row r="10" spans="1:9" ht="45">
      <c r="A10" s="297">
        <f>A9+1</f>
        <v>1</v>
      </c>
      <c r="B10" s="292" t="s">
        <v>337</v>
      </c>
      <c r="C10" s="298">
        <f>проверка!I29</f>
        <v>7253323.2</v>
      </c>
      <c r="D10" s="298">
        <f>ROUND($C$10/$C$9*D9,2)</f>
        <v>4126107.08</v>
      </c>
      <c r="E10" s="298">
        <f>ROUND($C$10/$C$9*E9,2)</f>
        <v>2639763.31</v>
      </c>
      <c r="F10" s="298">
        <f>ROUND($C$10/$C$9*F9,2)</f>
        <v>4125031.9</v>
      </c>
      <c r="G10" s="298">
        <f>ROUND($C$10/$C$9*G9,2)</f>
        <v>2638688.13</v>
      </c>
      <c r="H10" s="298">
        <f>D10-F10</f>
        <v>1075.1800000001676</v>
      </c>
      <c r="I10" s="299"/>
    </row>
    <row r="11" spans="1:9" ht="45">
      <c r="A11" s="297">
        <f>A10+1</f>
        <v>2</v>
      </c>
      <c r="B11" s="292" t="s">
        <v>338</v>
      </c>
      <c r="C11" s="298">
        <f>проверка!J29</f>
        <v>10096238.88</v>
      </c>
      <c r="D11" s="298">
        <f>ROUND($C$11/$C$9*D9,2)</f>
        <v>5743320.9</v>
      </c>
      <c r="E11" s="298">
        <f>ROUND($C$11/$C$9*E9,2)</f>
        <v>3674409.68</v>
      </c>
      <c r="F11" s="298">
        <f>ROUND($C$11/$C$9*F9,2)</f>
        <v>5741824.3</v>
      </c>
      <c r="G11" s="298">
        <f>ROUND($C$11/$C$9*G9,2)</f>
        <v>3672913.08</v>
      </c>
      <c r="H11" s="298">
        <f>D11-F11</f>
        <v>1496.6000000005588</v>
      </c>
      <c r="I11" s="299"/>
    </row>
    <row r="12" spans="1:9" ht="45">
      <c r="A12" s="297">
        <f>A11+1</f>
        <v>3</v>
      </c>
      <c r="B12" s="292" t="s">
        <v>339</v>
      </c>
      <c r="C12" s="298">
        <f aca="true" t="shared" si="0" ref="C12:H12">C9-C10-C11-C13</f>
        <v>2092743.92</v>
      </c>
      <c r="D12" s="298">
        <f t="shared" si="0"/>
        <v>1190473.0199999996</v>
      </c>
      <c r="E12" s="298">
        <f t="shared" si="0"/>
        <v>761630.0099999993</v>
      </c>
      <c r="F12" s="298">
        <f t="shared" si="0"/>
        <v>1190162.7999999998</v>
      </c>
      <c r="G12" s="298">
        <f t="shared" si="0"/>
        <v>761319.79</v>
      </c>
      <c r="H12" s="298">
        <f t="shared" si="0"/>
        <v>310.21999999927357</v>
      </c>
      <c r="I12" s="299"/>
    </row>
    <row r="13" spans="1:9" ht="60">
      <c r="A13" s="297">
        <f>A12+1</f>
        <v>4</v>
      </c>
      <c r="B13" s="292" t="s">
        <v>341</v>
      </c>
      <c r="C13" s="298">
        <f>проверка!L29</f>
        <v>0</v>
      </c>
      <c r="D13" s="298">
        <f>ROUND($C$13/$C$9*D9,0)</f>
        <v>0</v>
      </c>
      <c r="E13" s="298">
        <f>ROUND($C$13/$C$9*E9,0)</f>
        <v>0</v>
      </c>
      <c r="F13" s="298">
        <f>ROUND($C$13/$C$9*F9,0)</f>
        <v>0</v>
      </c>
      <c r="G13" s="298">
        <f>ROUND($C$13/$C$9*G9,0)</f>
        <v>0</v>
      </c>
      <c r="H13" s="298">
        <f>D13-F13</f>
        <v>0</v>
      </c>
      <c r="I13" s="299"/>
    </row>
    <row r="14" spans="1:9" ht="164.25" customHeight="1" hidden="1">
      <c r="A14" s="297">
        <f>A13+1</f>
        <v>5</v>
      </c>
      <c r="B14" s="292" t="s">
        <v>379</v>
      </c>
      <c r="C14" s="298"/>
      <c r="D14" s="298"/>
      <c r="E14" s="298"/>
      <c r="F14" s="298"/>
      <c r="G14" s="298"/>
      <c r="H14" s="298"/>
      <c r="I14" s="300"/>
    </row>
    <row r="16" ht="15">
      <c r="B16" t="s">
        <v>130</v>
      </c>
    </row>
    <row r="17" spans="2:6" ht="15">
      <c r="B17" s="453" t="s">
        <v>386</v>
      </c>
      <c r="C17" s="453"/>
      <c r="D17" s="453"/>
      <c r="E17" s="453"/>
      <c r="F17" s="453"/>
    </row>
    <row r="18" spans="2:6" ht="15">
      <c r="B18" s="301"/>
      <c r="C18" s="301"/>
      <c r="D18" s="301"/>
      <c r="E18" s="301"/>
      <c r="F18" s="301"/>
    </row>
    <row r="19" spans="2:6" ht="15">
      <c r="B19" s="453" t="s">
        <v>387</v>
      </c>
      <c r="C19" s="453"/>
      <c r="D19" s="453"/>
      <c r="E19" s="453"/>
      <c r="F19" s="453"/>
    </row>
    <row r="20" spans="2:6" ht="15">
      <c r="B20" s="301"/>
      <c r="C20" s="301"/>
      <c r="D20" s="301"/>
      <c r="E20" s="301"/>
      <c r="F20" s="301"/>
    </row>
    <row r="21" spans="2:6" ht="15">
      <c r="B21" s="302" t="s">
        <v>380</v>
      </c>
      <c r="C21" s="302"/>
      <c r="D21" s="302"/>
      <c r="E21" s="302"/>
      <c r="F21" s="302"/>
    </row>
  </sheetData>
  <sheetProtection/>
  <mergeCells count="14">
    <mergeCell ref="H7:H8"/>
    <mergeCell ref="I7:I8"/>
    <mergeCell ref="A1:I1"/>
    <mergeCell ref="A2:I2"/>
    <mergeCell ref="A3:I3"/>
    <mergeCell ref="A4:I4"/>
    <mergeCell ref="B17:F17"/>
    <mergeCell ref="B19:F19"/>
    <mergeCell ref="F7:G7"/>
    <mergeCell ref="A5:E5"/>
    <mergeCell ref="A7:A8"/>
    <mergeCell ref="B7:B8"/>
    <mergeCell ref="C7:C8"/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*</cp:lastModifiedBy>
  <cp:lastPrinted>2016-07-13T07:51:45Z</cp:lastPrinted>
  <dcterms:created xsi:type="dcterms:W3CDTF">2015-12-22T12:42:46Z</dcterms:created>
  <dcterms:modified xsi:type="dcterms:W3CDTF">2016-09-28T09:12:52Z</dcterms:modified>
  <cp:category/>
  <cp:version/>
  <cp:contentType/>
  <cp:contentStatus/>
</cp:coreProperties>
</file>